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InkAnnotation="0"/>
  <bookViews>
    <workbookView xWindow="0" yWindow="0" windowWidth="25440" windowHeight="12000" activeTab="4"/>
  </bookViews>
  <sheets>
    <sheet name="2016 ktgterv_teljes parkolás" sheetId="14" r:id="rId1"/>
    <sheet name="2016 ktgek részletezése" sheetId="19" r:id="rId2"/>
    <sheet name="2016 ktgterv_ParkolasiKFT" sheetId="18" r:id="rId3"/>
    <sheet name="bevételterv 2016" sheetId="17" r:id="rId4"/>
    <sheet name="ÁFA" sheetId="23" r:id="rId5"/>
    <sheet name="eredményterv 2016" sheetId="20" r:id="rId6"/>
    <sheet name="bérköltség" sheetId="10" r:id="rId7"/>
    <sheet name="2016 bér terv" sheetId="9" r:id="rId8"/>
    <sheet name="Óbuda kártya" sheetId="24" r:id="rId9"/>
    <sheet name="zónák" sheetId="4" r:id="rId10"/>
    <sheet name="Bevétel 2015" sheetId="16" r:id="rId11"/>
    <sheet name="tényleges kiadások 2015" sheetId="1" r:id="rId12"/>
    <sheet name="Rezsiköltségek" sheetId="3" r:id="rId13"/>
    <sheet name="eredeti bevétel prognózis " sheetId="6" r:id="rId14"/>
  </sheets>
  <externalReferences>
    <externalReference r:id="rId15"/>
    <externalReference r:id="rId16"/>
    <externalReference r:id="rId17"/>
  </externalReferences>
  <definedNames>
    <definedName name="_xlnm.Print_Area" localSheetId="4">ÁFA!$A$1:$X$17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3" i="23" l="1"/>
  <c r="P61" i="14" l="1"/>
  <c r="Q61" i="14"/>
  <c r="R61" i="14"/>
  <c r="W14" i="23"/>
  <c r="C5" i="17"/>
  <c r="D5" i="20" s="1"/>
  <c r="W13" i="23"/>
  <c r="Q46" i="14"/>
  <c r="D14" i="20"/>
  <c r="C14" i="20"/>
  <c r="C8" i="17"/>
  <c r="D6" i="23" s="1"/>
  <c r="C7" i="17"/>
  <c r="C6" i="17"/>
  <c r="F6" i="23"/>
  <c r="V6" i="23" s="1"/>
  <c r="F5" i="23"/>
  <c r="V15" i="23"/>
  <c r="W7" i="23"/>
  <c r="W8" i="23"/>
  <c r="V5" i="23"/>
  <c r="V7" i="23"/>
  <c r="V8" i="23"/>
  <c r="U8" i="23"/>
  <c r="E7" i="23"/>
  <c r="E8" i="23"/>
  <c r="D5" i="23"/>
  <c r="G5" i="23" s="1"/>
  <c r="W5" i="23" s="1"/>
  <c r="C8" i="23"/>
  <c r="F8" i="23" s="1"/>
  <c r="C6" i="23"/>
  <c r="C5" i="23"/>
  <c r="F7" i="23"/>
  <c r="E15" i="23"/>
  <c r="G15" i="23"/>
  <c r="F15" i="23"/>
  <c r="U15" i="23" s="1"/>
  <c r="X55" i="19"/>
  <c r="X56" i="19"/>
  <c r="X54" i="19"/>
  <c r="X53" i="19"/>
  <c r="W53" i="19"/>
  <c r="V53" i="19"/>
  <c r="W54" i="19"/>
  <c r="V54" i="19"/>
  <c r="V55" i="19"/>
  <c r="W56" i="19"/>
  <c r="W55" i="19"/>
  <c r="V56" i="19"/>
  <c r="Q51" i="18"/>
  <c r="R51" i="18"/>
  <c r="S51" i="18" s="1"/>
  <c r="X15" i="23"/>
  <c r="E6" i="23" l="1"/>
  <c r="G6" i="23"/>
  <c r="W6" i="23"/>
  <c r="E5" i="23"/>
  <c r="X7" i="23" l="1"/>
  <c r="X8" i="23"/>
  <c r="Q4" i="24" l="1"/>
  <c r="R4" i="24" s="1"/>
  <c r="S4" i="24" s="1"/>
  <c r="P34" i="18" l="1"/>
  <c r="O34" i="18"/>
  <c r="N34" i="18"/>
  <c r="M34" i="18"/>
  <c r="L34" i="18"/>
  <c r="K34" i="18"/>
  <c r="J34" i="18"/>
  <c r="I34" i="18"/>
  <c r="H34" i="18"/>
  <c r="G34" i="18"/>
  <c r="F34" i="18"/>
  <c r="E34" i="18"/>
  <c r="Q34" i="18" s="1"/>
  <c r="R34" i="18" s="1"/>
  <c r="S34" i="18" s="1"/>
  <c r="D21" i="14"/>
  <c r="E21" i="14"/>
  <c r="F21" i="14"/>
  <c r="G21" i="14"/>
  <c r="H21" i="14"/>
  <c r="I21" i="14"/>
  <c r="J21" i="14"/>
  <c r="K21" i="14"/>
  <c r="L21" i="14"/>
  <c r="M21" i="14"/>
  <c r="N21" i="14"/>
  <c r="O21" i="14"/>
  <c r="J3" i="24"/>
  <c r="I3" i="24"/>
  <c r="H3" i="24"/>
  <c r="G3" i="24"/>
  <c r="F3" i="24"/>
  <c r="E3" i="24"/>
  <c r="Q3" i="24" s="1"/>
  <c r="R3" i="24" s="1"/>
  <c r="S3" i="24" s="1"/>
  <c r="P21" i="14" l="1"/>
  <c r="Q21" i="14" s="1"/>
  <c r="R21" i="14" s="1"/>
  <c r="Q11" i="18"/>
  <c r="Q13" i="18"/>
  <c r="Q14" i="18"/>
  <c r="Q15" i="18"/>
  <c r="T10" i="10" l="1"/>
  <c r="T15" i="10"/>
  <c r="T18" i="10"/>
  <c r="T23" i="10"/>
  <c r="S10" i="10"/>
  <c r="S15" i="10"/>
  <c r="S18" i="10"/>
  <c r="S23" i="10"/>
  <c r="R7" i="10"/>
  <c r="R8" i="10"/>
  <c r="R9" i="10"/>
  <c r="R10" i="10"/>
  <c r="R11" i="10"/>
  <c r="R12" i="10"/>
  <c r="R13" i="10"/>
  <c r="R14" i="10"/>
  <c r="R15" i="10"/>
  <c r="R16" i="10"/>
  <c r="R17" i="10"/>
  <c r="R18" i="10"/>
  <c r="R19" i="10"/>
  <c r="R20" i="10"/>
  <c r="R21" i="10"/>
  <c r="R22" i="10"/>
  <c r="R23" i="10"/>
  <c r="R24" i="10"/>
  <c r="R25" i="10"/>
  <c r="R26" i="10"/>
  <c r="R27" i="10"/>
  <c r="R6" i="10"/>
  <c r="R5" i="10" s="1"/>
  <c r="I7" i="18" s="1"/>
  <c r="J7" i="18" s="1"/>
  <c r="K7" i="18" s="1"/>
  <c r="L7" i="18" s="1"/>
  <c r="M7" i="18" s="1"/>
  <c r="N5" i="10"/>
  <c r="L14" i="10"/>
  <c r="L5" i="10" s="1"/>
  <c r="F7" i="18" s="1"/>
  <c r="H14" i="10"/>
  <c r="AC14" i="10"/>
  <c r="W41" i="19"/>
  <c r="X41" i="19" s="1"/>
  <c r="W43" i="19"/>
  <c r="X43" i="19" s="1"/>
  <c r="V43" i="19"/>
  <c r="I43" i="19"/>
  <c r="G43" i="19"/>
  <c r="F50" i="18"/>
  <c r="G50" i="18"/>
  <c r="H50" i="18"/>
  <c r="I50" i="18"/>
  <c r="J50" i="18"/>
  <c r="K50" i="18"/>
  <c r="L50" i="18"/>
  <c r="M50" i="18"/>
  <c r="N50" i="18"/>
  <c r="O50" i="18"/>
  <c r="E50" i="18"/>
  <c r="P53" i="18"/>
  <c r="P52" i="18"/>
  <c r="Q43" i="14"/>
  <c r="R43" i="14" s="1"/>
  <c r="Q42" i="14"/>
  <c r="R42" i="14" s="1"/>
  <c r="Q40" i="18"/>
  <c r="R40" i="18" s="1"/>
  <c r="S40" i="18" s="1"/>
  <c r="F18" i="18"/>
  <c r="G18" i="18"/>
  <c r="H18" i="18"/>
  <c r="I18" i="18"/>
  <c r="J18" i="18"/>
  <c r="K18" i="18"/>
  <c r="L18" i="18"/>
  <c r="M18" i="18"/>
  <c r="N18" i="18"/>
  <c r="O18" i="18"/>
  <c r="P18" i="18"/>
  <c r="E18" i="18"/>
  <c r="AC27" i="10"/>
  <c r="AC26" i="10"/>
  <c r="AC25" i="10"/>
  <c r="AC24" i="10"/>
  <c r="AC22" i="10"/>
  <c r="AC21" i="10"/>
  <c r="AC20" i="10"/>
  <c r="AC19" i="10"/>
  <c r="AC17" i="10"/>
  <c r="AC16" i="10"/>
  <c r="AC13" i="10"/>
  <c r="AC12" i="10"/>
  <c r="AC11" i="10"/>
  <c r="AC9" i="10"/>
  <c r="AC8" i="10"/>
  <c r="AC7" i="10"/>
  <c r="AC6" i="10"/>
  <c r="H6" i="10"/>
  <c r="AE28" i="10"/>
  <c r="AC28" i="10"/>
  <c r="J28" i="10"/>
  <c r="H28" i="10"/>
  <c r="D28" i="10"/>
  <c r="AD28" i="10" s="1"/>
  <c r="E52" i="14"/>
  <c r="G52" i="14"/>
  <c r="H52" i="14"/>
  <c r="I52" i="14"/>
  <c r="J52" i="14"/>
  <c r="K52" i="14"/>
  <c r="L52" i="14"/>
  <c r="M52" i="14"/>
  <c r="N52" i="14"/>
  <c r="O52" i="14"/>
  <c r="D52" i="14"/>
  <c r="G56" i="19"/>
  <c r="G55" i="19"/>
  <c r="F55" i="14"/>
  <c r="P55" i="14" s="1"/>
  <c r="F54" i="14"/>
  <c r="E18" i="14"/>
  <c r="F18" i="14"/>
  <c r="G18" i="14"/>
  <c r="H18" i="14"/>
  <c r="I18" i="14"/>
  <c r="J18" i="14"/>
  <c r="K18" i="14"/>
  <c r="L18" i="14"/>
  <c r="M18" i="14"/>
  <c r="N18" i="14"/>
  <c r="O18" i="14"/>
  <c r="F52" i="14" l="1"/>
  <c r="P50" i="18"/>
  <c r="P54" i="14"/>
  <c r="R53" i="18"/>
  <c r="S53" i="18" s="1"/>
  <c r="I28" i="10"/>
  <c r="F28" i="10"/>
  <c r="G28" i="10" s="1"/>
  <c r="K28" i="10" s="1"/>
  <c r="O28" i="10" s="1"/>
  <c r="P28" i="10" s="1"/>
  <c r="Y28" i="10" s="1"/>
  <c r="Z28" i="10" s="1"/>
  <c r="AA28" i="10" s="1"/>
  <c r="AC5" i="10"/>
  <c r="Q55" i="14"/>
  <c r="R55" i="14" s="1"/>
  <c r="Q54" i="14"/>
  <c r="R54" i="14" s="1"/>
  <c r="B5" i="17"/>
  <c r="B6" i="17"/>
  <c r="B7" i="17"/>
  <c r="B8" i="17"/>
  <c r="R52" i="18" l="1"/>
  <c r="S52" i="18" s="1"/>
  <c r="S50" i="18" s="1"/>
  <c r="Q50" i="18"/>
  <c r="AB28" i="10"/>
  <c r="R50" i="18"/>
  <c r="AP6" i="20"/>
  <c r="F11" i="20"/>
  <c r="AP5" i="20"/>
  <c r="T7" i="23"/>
  <c r="D10" i="20"/>
  <c r="D9" i="20"/>
  <c r="D8" i="20"/>
  <c r="D7" i="20"/>
  <c r="D6" i="20"/>
  <c r="C6" i="20"/>
  <c r="C7" i="20"/>
  <c r="C8" i="20"/>
  <c r="C9" i="20"/>
  <c r="C10" i="20"/>
  <c r="D19" i="6"/>
  <c r="E10" i="20" l="1"/>
  <c r="E6" i="20"/>
  <c r="E9" i="20"/>
  <c r="E8" i="20"/>
  <c r="E7" i="20"/>
  <c r="T5" i="23"/>
  <c r="T4" i="23"/>
  <c r="T15" i="23"/>
  <c r="T12" i="23"/>
  <c r="T11" i="23"/>
  <c r="T13" i="23"/>
  <c r="T14" i="23" l="1"/>
  <c r="T6" i="23"/>
  <c r="T16" i="23"/>
  <c r="T9" i="23" l="1"/>
  <c r="T17" i="23" s="1"/>
  <c r="T8" i="23"/>
  <c r="P7" i="17" l="1"/>
  <c r="P6" i="17"/>
  <c r="P5" i="17"/>
  <c r="AQ7" i="17"/>
  <c r="AQ6" i="17"/>
  <c r="AQ5" i="17"/>
  <c r="E7" i="16"/>
  <c r="E9" i="16"/>
  <c r="E11" i="16"/>
  <c r="D9" i="16"/>
  <c r="D6" i="16"/>
  <c r="D7" i="16"/>
  <c r="D8" i="16"/>
  <c r="D10" i="16"/>
  <c r="C10" i="16"/>
  <c r="E10" i="16" s="1"/>
  <c r="C9" i="16"/>
  <c r="C8" i="16"/>
  <c r="E8" i="16" s="1"/>
  <c r="C7" i="16"/>
  <c r="C6" i="16"/>
  <c r="E6" i="16" s="1"/>
  <c r="I53" i="19" l="1"/>
  <c r="I6" i="20" l="1"/>
  <c r="G6" i="20" s="1"/>
  <c r="H6" i="20" s="1"/>
  <c r="AP17" i="20"/>
  <c r="AO17" i="20" s="1"/>
  <c r="AN17" i="20" s="1"/>
  <c r="AM17" i="20"/>
  <c r="AL17" i="20" s="1"/>
  <c r="AK17" i="20" s="1"/>
  <c r="AJ17" i="20"/>
  <c r="AI17" i="20" s="1"/>
  <c r="AG17" i="20"/>
  <c r="AF17" i="20" s="1"/>
  <c r="AE17" i="20" s="1"/>
  <c r="AD17" i="20"/>
  <c r="AC17" i="20" s="1"/>
  <c r="AB17" i="20" s="1"/>
  <c r="AA17" i="20"/>
  <c r="Z17" i="20" s="1"/>
  <c r="Y17" i="20" s="1"/>
  <c r="X17" i="20"/>
  <c r="W17" i="20" s="1"/>
  <c r="V17" i="20" s="1"/>
  <c r="U17" i="20"/>
  <c r="R17" i="20"/>
  <c r="O17" i="20"/>
  <c r="L17" i="20"/>
  <c r="K17" i="20" s="1"/>
  <c r="I17" i="20"/>
  <c r="H17" i="20" s="1"/>
  <c r="G17" i="20" s="1"/>
  <c r="F16" i="20"/>
  <c r="F18" i="20" s="1"/>
  <c r="AP10" i="20"/>
  <c r="AM10" i="20"/>
  <c r="AJ10" i="20"/>
  <c r="R10" i="20"/>
  <c r="O10" i="20"/>
  <c r="L10" i="20"/>
  <c r="I10" i="20"/>
  <c r="L9" i="20"/>
  <c r="I9" i="20"/>
  <c r="AJ8" i="20"/>
  <c r="AM8" i="20" s="1"/>
  <c r="AG8" i="20"/>
  <c r="AE8" i="20" s="1"/>
  <c r="AD8" i="20"/>
  <c r="AB8" i="20" s="1"/>
  <c r="AA8" i="20"/>
  <c r="X8" i="20"/>
  <c r="U8" i="20"/>
  <c r="T8" i="20"/>
  <c r="R8" i="20"/>
  <c r="P8" i="20" s="1"/>
  <c r="Q8" i="20"/>
  <c r="O8" i="20"/>
  <c r="L8" i="20"/>
  <c r="J8" i="20" s="1"/>
  <c r="K8" i="20" s="1"/>
  <c r="I8" i="20"/>
  <c r="G8" i="20" s="1"/>
  <c r="AP7" i="20"/>
  <c r="AM7" i="20"/>
  <c r="AJ7" i="20"/>
  <c r="AG7" i="20"/>
  <c r="AD7" i="20"/>
  <c r="AB7" i="20" s="1"/>
  <c r="AA7" i="20"/>
  <c r="X7" i="20"/>
  <c r="U7" i="20"/>
  <c r="T7" i="20"/>
  <c r="R7" i="20"/>
  <c r="P7" i="20" s="1"/>
  <c r="Q7" i="20"/>
  <c r="O7" i="20"/>
  <c r="L7" i="20"/>
  <c r="I7" i="20"/>
  <c r="G7" i="20" s="1"/>
  <c r="AN6" i="20"/>
  <c r="AM6" i="20"/>
  <c r="AJ6" i="20"/>
  <c r="AG6" i="20"/>
  <c r="AE6" i="20" s="1"/>
  <c r="AF6" i="20" s="1"/>
  <c r="AD6" i="20"/>
  <c r="AA6" i="20"/>
  <c r="X6" i="20"/>
  <c r="U6" i="20"/>
  <c r="R6" i="20"/>
  <c r="P6" i="20" s="1"/>
  <c r="O6" i="20"/>
  <c r="L6" i="20"/>
  <c r="AN5" i="20"/>
  <c r="AM5" i="20"/>
  <c r="AK5" i="20" s="1"/>
  <c r="AJ5" i="20"/>
  <c r="AG5" i="20"/>
  <c r="AD5" i="20"/>
  <c r="AB5" i="20" s="1"/>
  <c r="AC5" i="20" s="1"/>
  <c r="AA5" i="20"/>
  <c r="X5" i="20"/>
  <c r="U5" i="20"/>
  <c r="R5" i="20"/>
  <c r="O5" i="20"/>
  <c r="M5" i="20" s="1"/>
  <c r="L5" i="20"/>
  <c r="I5" i="20"/>
  <c r="AE7" i="17"/>
  <c r="AH7" i="17"/>
  <c r="AB7" i="17"/>
  <c r="AO6" i="17"/>
  <c r="AP6" i="17" s="1"/>
  <c r="AO7" i="17"/>
  <c r="AP7" i="17" s="1"/>
  <c r="AO5" i="17"/>
  <c r="AP5" i="17" s="1"/>
  <c r="AL7" i="17"/>
  <c r="AM7" i="17" s="1"/>
  <c r="AN8" i="17"/>
  <c r="AQ8" i="17" s="1"/>
  <c r="AN7" i="17"/>
  <c r="AN6" i="17"/>
  <c r="AL6" i="17" s="1"/>
  <c r="AN5" i="17"/>
  <c r="AK8" i="17"/>
  <c r="AI8" i="17" s="1"/>
  <c r="AJ8" i="17" s="1"/>
  <c r="AK6" i="17"/>
  <c r="AK7" i="17"/>
  <c r="AI7" i="17" s="1"/>
  <c r="AJ7" i="17" s="1"/>
  <c r="AK5" i="17"/>
  <c r="AI5" i="17" s="1"/>
  <c r="AJ5" i="17" s="1"/>
  <c r="AH8" i="17"/>
  <c r="AF8" i="17" s="1"/>
  <c r="AH6" i="17"/>
  <c r="AH5" i="17"/>
  <c r="AC8" i="17"/>
  <c r="AE8" i="17"/>
  <c r="AD8" i="17" s="1"/>
  <c r="AC7" i="17"/>
  <c r="AD7" i="17" s="1"/>
  <c r="AE6" i="17"/>
  <c r="AE5" i="17"/>
  <c r="AC5" i="17" s="1"/>
  <c r="AD5" i="17" s="1"/>
  <c r="Z7" i="17"/>
  <c r="AA7" i="17" s="1"/>
  <c r="AB8" i="17"/>
  <c r="AB6" i="17"/>
  <c r="Z6" i="17" s="1"/>
  <c r="AB5" i="17"/>
  <c r="N7" i="17"/>
  <c r="O7" i="17" s="1"/>
  <c r="N8" i="17"/>
  <c r="O8" i="17" s="1"/>
  <c r="K8" i="17"/>
  <c r="H8" i="17"/>
  <c r="D10" i="14"/>
  <c r="E10" i="14"/>
  <c r="F10" i="14"/>
  <c r="G10" i="14"/>
  <c r="H10" i="14"/>
  <c r="I10" i="14"/>
  <c r="J10" i="14"/>
  <c r="K10" i="14"/>
  <c r="L10" i="14"/>
  <c r="M10" i="14"/>
  <c r="N10" i="14"/>
  <c r="O10" i="14"/>
  <c r="P11" i="14"/>
  <c r="R11" i="14" s="1"/>
  <c r="F12" i="14"/>
  <c r="I12" i="14"/>
  <c r="L12" i="14"/>
  <c r="P13" i="14"/>
  <c r="R13" i="14" s="1"/>
  <c r="P14" i="14"/>
  <c r="Q14" i="14" s="1"/>
  <c r="P15" i="14"/>
  <c r="Q15" i="14" s="1"/>
  <c r="P19" i="14"/>
  <c r="Q19" i="14" s="1"/>
  <c r="R19" i="14" s="1"/>
  <c r="D20" i="14"/>
  <c r="E20" i="14"/>
  <c r="F20" i="14"/>
  <c r="G20" i="14"/>
  <c r="H20" i="14"/>
  <c r="I20" i="14"/>
  <c r="J20" i="14"/>
  <c r="K20" i="14"/>
  <c r="L20" i="14"/>
  <c r="M20" i="14"/>
  <c r="N20" i="14"/>
  <c r="O20" i="14"/>
  <c r="P22" i="14"/>
  <c r="Q22" i="14" s="1"/>
  <c r="D23" i="14"/>
  <c r="E23" i="14"/>
  <c r="F23" i="14"/>
  <c r="G23" i="14"/>
  <c r="H23" i="14"/>
  <c r="I23" i="14"/>
  <c r="J23" i="14"/>
  <c r="K23" i="14"/>
  <c r="L23" i="14"/>
  <c r="M23" i="14"/>
  <c r="N23" i="14"/>
  <c r="O23" i="14"/>
  <c r="D24" i="14"/>
  <c r="G24" i="14"/>
  <c r="P25" i="14"/>
  <c r="Q25" i="14" s="1"/>
  <c r="R25" i="14" s="1"/>
  <c r="D26" i="14"/>
  <c r="E26" i="14"/>
  <c r="F26" i="14"/>
  <c r="G26" i="14"/>
  <c r="H26" i="14"/>
  <c r="I26" i="14"/>
  <c r="J26" i="14"/>
  <c r="K26" i="14"/>
  <c r="L26" i="14"/>
  <c r="M26" i="14"/>
  <c r="N26" i="14"/>
  <c r="O26" i="14"/>
  <c r="P30" i="14"/>
  <c r="Q30" i="14" s="1"/>
  <c r="D31" i="14"/>
  <c r="E31" i="14"/>
  <c r="F31" i="14"/>
  <c r="G31" i="14"/>
  <c r="H31" i="14"/>
  <c r="I31" i="14"/>
  <c r="J31" i="14"/>
  <c r="K31" i="14"/>
  <c r="L31" i="14"/>
  <c r="M31" i="14"/>
  <c r="N31" i="14"/>
  <c r="O31" i="14"/>
  <c r="P32" i="14"/>
  <c r="Q32" i="14" s="1"/>
  <c r="R32" i="14" s="1"/>
  <c r="P33" i="14"/>
  <c r="Q33" i="14" s="1"/>
  <c r="R33" i="14" s="1"/>
  <c r="Q34" i="14"/>
  <c r="R34" i="14" s="1"/>
  <c r="P35" i="14"/>
  <c r="Q35" i="14" s="1"/>
  <c r="R35" i="14" s="1"/>
  <c r="P36" i="14"/>
  <c r="Q36" i="14" s="1"/>
  <c r="R36" i="14" s="1"/>
  <c r="D37" i="14"/>
  <c r="E37" i="14"/>
  <c r="F37" i="14"/>
  <c r="G37" i="14"/>
  <c r="H37" i="14"/>
  <c r="I37" i="14"/>
  <c r="J37" i="14"/>
  <c r="K37" i="14"/>
  <c r="L37" i="14"/>
  <c r="M37" i="14"/>
  <c r="N37" i="14"/>
  <c r="O37" i="14"/>
  <c r="D38" i="14"/>
  <c r="E38" i="14"/>
  <c r="F38" i="14"/>
  <c r="G38" i="14"/>
  <c r="H38" i="14"/>
  <c r="I38" i="14"/>
  <c r="J38" i="14"/>
  <c r="K38" i="14"/>
  <c r="L38" i="14"/>
  <c r="M38" i="14"/>
  <c r="N38" i="14"/>
  <c r="O38" i="14"/>
  <c r="D39" i="14"/>
  <c r="E39" i="14"/>
  <c r="F39" i="14"/>
  <c r="G39" i="14"/>
  <c r="H39" i="14"/>
  <c r="I39" i="14"/>
  <c r="J39" i="14"/>
  <c r="K39" i="14"/>
  <c r="L39" i="14"/>
  <c r="M39" i="14"/>
  <c r="N39" i="14"/>
  <c r="O39" i="14"/>
  <c r="E40" i="14"/>
  <c r="F40" i="14"/>
  <c r="G40" i="14"/>
  <c r="H40" i="14"/>
  <c r="I40" i="14"/>
  <c r="J40" i="14"/>
  <c r="K40" i="14"/>
  <c r="L40" i="14"/>
  <c r="M40" i="14"/>
  <c r="N40" i="14"/>
  <c r="O40" i="14"/>
  <c r="D41" i="14"/>
  <c r="E41" i="14"/>
  <c r="F41" i="14"/>
  <c r="G41" i="14"/>
  <c r="H41" i="14"/>
  <c r="I41" i="14"/>
  <c r="J41" i="14"/>
  <c r="K41" i="14"/>
  <c r="L41" i="14"/>
  <c r="M41" i="14"/>
  <c r="N41" i="14"/>
  <c r="O41" i="14"/>
  <c r="D46" i="14"/>
  <c r="I20" i="20" s="1"/>
  <c r="H20" i="20" s="1"/>
  <c r="E46" i="14"/>
  <c r="L20" i="20" s="1"/>
  <c r="K20" i="20" s="1"/>
  <c r="J20" i="20" s="1"/>
  <c r="F46" i="14"/>
  <c r="O20" i="20" s="1"/>
  <c r="N20" i="20" s="1"/>
  <c r="G46" i="14"/>
  <c r="R20" i="20" s="1"/>
  <c r="Q20" i="20" s="1"/>
  <c r="P20" i="20" s="1"/>
  <c r="H46" i="14"/>
  <c r="U20" i="20" s="1"/>
  <c r="T20" i="20" s="1"/>
  <c r="J46" i="14"/>
  <c r="AA20" i="20" s="1"/>
  <c r="Z20" i="20" s="1"/>
  <c r="K46" i="14"/>
  <c r="AD20" i="20" s="1"/>
  <c r="AC20" i="20" s="1"/>
  <c r="AB20" i="20" s="1"/>
  <c r="M46" i="14"/>
  <c r="AJ20" i="20" s="1"/>
  <c r="AI20" i="20" s="1"/>
  <c r="AH20" i="20" s="1"/>
  <c r="N46" i="14"/>
  <c r="AM20" i="20" s="1"/>
  <c r="O46" i="14"/>
  <c r="AP20" i="20" s="1"/>
  <c r="AO20" i="20" s="1"/>
  <c r="AN20" i="20" s="1"/>
  <c r="I47" i="14"/>
  <c r="I46" i="14" s="1"/>
  <c r="X20" i="20" s="1"/>
  <c r="W20" i="20" s="1"/>
  <c r="V20" i="20" s="1"/>
  <c r="L47" i="14"/>
  <c r="P48" i="14"/>
  <c r="R48" i="14" s="1"/>
  <c r="P53" i="14"/>
  <c r="Y8" i="17"/>
  <c r="Y7" i="17"/>
  <c r="Y6" i="17"/>
  <c r="Y5" i="17"/>
  <c r="U8" i="17"/>
  <c r="U7" i="17"/>
  <c r="V6" i="17"/>
  <c r="V7" i="17"/>
  <c r="V8" i="17"/>
  <c r="V5" i="17"/>
  <c r="T5" i="17" s="1"/>
  <c r="R8" i="17"/>
  <c r="R7" i="17"/>
  <c r="S6" i="17"/>
  <c r="Q6" i="17" s="1"/>
  <c r="S7" i="17"/>
  <c r="Q7" i="17" s="1"/>
  <c r="S8" i="17"/>
  <c r="Q8" i="17" s="1"/>
  <c r="S5" i="17"/>
  <c r="Q5" i="17" s="1"/>
  <c r="N6" i="17"/>
  <c r="N5" i="17"/>
  <c r="O5" i="17" s="1"/>
  <c r="P8" i="17"/>
  <c r="M7" i="17"/>
  <c r="K7" i="17" s="1"/>
  <c r="AQ4" i="17"/>
  <c r="M8" i="17"/>
  <c r="L8" i="17" s="1"/>
  <c r="M6" i="17"/>
  <c r="M5" i="17"/>
  <c r="K5" i="17" s="1"/>
  <c r="L5" i="17" s="1"/>
  <c r="J9" i="17"/>
  <c r="J8" i="17"/>
  <c r="I8" i="17" s="1"/>
  <c r="J7" i="17"/>
  <c r="J6" i="17"/>
  <c r="J5" i="17"/>
  <c r="H5" i="17" s="1"/>
  <c r="Q6" i="14" l="1"/>
  <c r="U11" i="23" s="1"/>
  <c r="AA8" i="17"/>
  <c r="D28" i="14"/>
  <c r="I15" i="20" s="1"/>
  <c r="H15" i="20" s="1"/>
  <c r="G15" i="20" s="1"/>
  <c r="W8" i="17"/>
  <c r="X8" i="17" s="1"/>
  <c r="AG8" i="17"/>
  <c r="AO8" i="17"/>
  <c r="AP8" i="17" s="1"/>
  <c r="AR8" i="17"/>
  <c r="AE4" i="17"/>
  <c r="AD4" i="20" s="1"/>
  <c r="N4" i="17"/>
  <c r="M4" i="20" s="1"/>
  <c r="N17" i="14"/>
  <c r="AM14" i="20" s="1"/>
  <c r="AL14" i="20" s="1"/>
  <c r="J17" i="14"/>
  <c r="AA14" i="20" s="1"/>
  <c r="Z14" i="20" s="1"/>
  <c r="F17" i="14"/>
  <c r="O14" i="20" s="1"/>
  <c r="N14" i="20" s="1"/>
  <c r="M14" i="20" s="1"/>
  <c r="Z8" i="17"/>
  <c r="AN4" i="17"/>
  <c r="AM4" i="20" s="1"/>
  <c r="AL8" i="17"/>
  <c r="AM8" i="17"/>
  <c r="P24" i="14"/>
  <c r="Q53" i="14"/>
  <c r="Q52" i="14" s="1"/>
  <c r="P52" i="14"/>
  <c r="P41" i="14"/>
  <c r="Q41" i="14" s="1"/>
  <c r="R41" i="14" s="1"/>
  <c r="P40" i="14"/>
  <c r="Q40" i="14" s="1"/>
  <c r="R40" i="14" s="1"/>
  <c r="M20" i="20"/>
  <c r="AL20" i="20"/>
  <c r="AK20" i="20" s="1"/>
  <c r="AF8" i="20"/>
  <c r="L7" i="17"/>
  <c r="W7" i="17"/>
  <c r="X7" i="17" s="1"/>
  <c r="H7" i="17"/>
  <c r="I7" i="17" s="1"/>
  <c r="AK4" i="17"/>
  <c r="AJ4" i="20" s="1"/>
  <c r="AP4" i="17"/>
  <c r="S4" i="17"/>
  <c r="R4" i="20" s="1"/>
  <c r="AR5" i="17"/>
  <c r="M4" i="17"/>
  <c r="L4" i="20" s="1"/>
  <c r="W5" i="17"/>
  <c r="X5" i="17" s="1"/>
  <c r="J4" i="17"/>
  <c r="I4" i="20" s="1"/>
  <c r="AB4" i="17"/>
  <c r="AA4" i="20" s="1"/>
  <c r="R5" i="17"/>
  <c r="U5" i="17"/>
  <c r="Y4" i="17"/>
  <c r="X4" i="20" s="1"/>
  <c r="AF5" i="17"/>
  <c r="AG5" i="17" s="1"/>
  <c r="AL5" i="17"/>
  <c r="AM5" i="17" s="1"/>
  <c r="V4" i="17"/>
  <c r="U4" i="20" s="1"/>
  <c r="Z5" i="17"/>
  <c r="AA5" i="17" s="1"/>
  <c r="AO4" i="17"/>
  <c r="AA6" i="17"/>
  <c r="AH4" i="17"/>
  <c r="AG4" i="20" s="1"/>
  <c r="AC6" i="17"/>
  <c r="AC4" i="17" s="1"/>
  <c r="AB4" i="20" s="1"/>
  <c r="AI6" i="17"/>
  <c r="AI4" i="17" s="1"/>
  <c r="AH4" i="20" s="1"/>
  <c r="AM6" i="17"/>
  <c r="AR6" i="17"/>
  <c r="W6" i="17"/>
  <c r="H6" i="17"/>
  <c r="K6" i="17"/>
  <c r="R6" i="17"/>
  <c r="R4" i="17" s="1"/>
  <c r="Q4" i="20" s="1"/>
  <c r="T6" i="17"/>
  <c r="T4" i="17" s="1"/>
  <c r="S4" i="20" s="1"/>
  <c r="AF6" i="17"/>
  <c r="O6" i="17"/>
  <c r="O4" i="17" s="1"/>
  <c r="N4" i="20" s="1"/>
  <c r="Y20" i="20"/>
  <c r="AH17" i="20"/>
  <c r="S20" i="20"/>
  <c r="R11" i="20"/>
  <c r="AO5" i="20"/>
  <c r="AQ17" i="20"/>
  <c r="G20" i="20"/>
  <c r="AP4" i="20"/>
  <c r="N5" i="20"/>
  <c r="Q6" i="20"/>
  <c r="AQ6" i="20"/>
  <c r="H7" i="20"/>
  <c r="AC7" i="20"/>
  <c r="AA11" i="20"/>
  <c r="F19" i="20"/>
  <c r="F21" i="20" s="1"/>
  <c r="J17" i="20"/>
  <c r="N17" i="20"/>
  <c r="M17" i="20" s="1"/>
  <c r="T17" i="20"/>
  <c r="S17" i="20" s="1"/>
  <c r="P5" i="20"/>
  <c r="P11" i="20" s="1"/>
  <c r="S6" i="20"/>
  <c r="T6" i="20" s="1"/>
  <c r="AN4" i="20"/>
  <c r="J7" i="20"/>
  <c r="K7" i="20" s="1"/>
  <c r="AE7" i="20"/>
  <c r="AF7" i="20" s="1"/>
  <c r="AQ7" i="20"/>
  <c r="H8" i="20"/>
  <c r="AC8" i="20"/>
  <c r="AQ10" i="20"/>
  <c r="Q17" i="20"/>
  <c r="P17" i="20" s="1"/>
  <c r="Y5" i="20"/>
  <c r="Z5" i="20" s="1"/>
  <c r="AD11" i="20"/>
  <c r="AQ5" i="20"/>
  <c r="AB6" i="20"/>
  <c r="AO6" i="20"/>
  <c r="AO4" i="20" s="1"/>
  <c r="AN7" i="20"/>
  <c r="AO7" i="20" s="1"/>
  <c r="AQ9" i="20"/>
  <c r="AP8" i="20"/>
  <c r="AM11" i="20"/>
  <c r="AK8" i="20"/>
  <c r="AL8" i="20" s="1"/>
  <c r="J5" i="20"/>
  <c r="K5" i="20" s="1"/>
  <c r="V5" i="20"/>
  <c r="AH5" i="20"/>
  <c r="AL5" i="20"/>
  <c r="M6" i="20"/>
  <c r="N6" i="20" s="1"/>
  <c r="Y6" i="20"/>
  <c r="AK6" i="20"/>
  <c r="AL6" i="20" s="1"/>
  <c r="Y7" i="20"/>
  <c r="Z7" i="20" s="1"/>
  <c r="AK7" i="20"/>
  <c r="Y8" i="20"/>
  <c r="Z8" i="20" s="1"/>
  <c r="L11" i="20"/>
  <c r="X11" i="20"/>
  <c r="AJ11" i="20"/>
  <c r="G5" i="20"/>
  <c r="G11" i="20" s="1"/>
  <c r="S5" i="20"/>
  <c r="T5" i="20" s="1"/>
  <c r="AE5" i="20"/>
  <c r="J6" i="20"/>
  <c r="K6" i="20" s="1"/>
  <c r="V6" i="20"/>
  <c r="W6" i="20" s="1"/>
  <c r="AH6" i="20"/>
  <c r="AI6" i="20" s="1"/>
  <c r="M7" i="20"/>
  <c r="N7" i="20" s="1"/>
  <c r="V7" i="20"/>
  <c r="W7" i="20" s="1"/>
  <c r="AH7" i="20"/>
  <c r="AI7" i="20" s="1"/>
  <c r="M8" i="20"/>
  <c r="V8" i="20"/>
  <c r="W8" i="20" s="1"/>
  <c r="AH8" i="20"/>
  <c r="AI8" i="20" s="1"/>
  <c r="I11" i="20"/>
  <c r="U11" i="20"/>
  <c r="AG11" i="20"/>
  <c r="O11" i="20"/>
  <c r="AR7" i="17"/>
  <c r="AF7" i="17"/>
  <c r="AG7" i="17" s="1"/>
  <c r="P39" i="14"/>
  <c r="Q39" i="14" s="1"/>
  <c r="R39" i="14" s="1"/>
  <c r="P23" i="14"/>
  <c r="Q23" i="14" s="1"/>
  <c r="R23" i="14" s="1"/>
  <c r="R22" i="14"/>
  <c r="M17" i="14"/>
  <c r="AJ14" i="20" s="1"/>
  <c r="AI14" i="20" s="1"/>
  <c r="I17" i="14"/>
  <c r="X14" i="20" s="1"/>
  <c r="W14" i="20" s="1"/>
  <c r="E17" i="14"/>
  <c r="L14" i="20" s="1"/>
  <c r="K14" i="20" s="1"/>
  <c r="P12" i="14"/>
  <c r="R12" i="14" s="1"/>
  <c r="P47" i="14"/>
  <c r="P46" i="14" s="1"/>
  <c r="P38" i="14"/>
  <c r="Q38" i="14" s="1"/>
  <c r="R38" i="14" s="1"/>
  <c r="P31" i="14"/>
  <c r="Q31" i="14" s="1"/>
  <c r="R31" i="14" s="1"/>
  <c r="P26" i="14"/>
  <c r="Q26" i="14" s="1"/>
  <c r="R26" i="14" s="1"/>
  <c r="P20" i="14"/>
  <c r="Q20" i="14" s="1"/>
  <c r="R20" i="14" s="1"/>
  <c r="L17" i="14"/>
  <c r="AG14" i="20" s="1"/>
  <c r="AF14" i="20" s="1"/>
  <c r="H17" i="14"/>
  <c r="U14" i="20" s="1"/>
  <c r="T14" i="20" s="1"/>
  <c r="P10" i="14"/>
  <c r="R10" i="14" s="1"/>
  <c r="P37" i="14"/>
  <c r="Q37" i="14" s="1"/>
  <c r="R37" i="14" s="1"/>
  <c r="O17" i="14"/>
  <c r="AP14" i="20" s="1"/>
  <c r="AO14" i="20" s="1"/>
  <c r="K17" i="14"/>
  <c r="AD14" i="20" s="1"/>
  <c r="AC14" i="20" s="1"/>
  <c r="G17" i="14"/>
  <c r="R14" i="20" s="1"/>
  <c r="Q14" i="20" s="1"/>
  <c r="P14" i="20" s="1"/>
  <c r="R30" i="14"/>
  <c r="Q24" i="14"/>
  <c r="R24" i="14" s="1"/>
  <c r="L46" i="14"/>
  <c r="AG20" i="20" s="1"/>
  <c r="AF20" i="20" s="1"/>
  <c r="R14" i="14"/>
  <c r="R15" i="14"/>
  <c r="Q4" i="17"/>
  <c r="P4" i="20" s="1"/>
  <c r="P4" i="17"/>
  <c r="O4" i="20" s="1"/>
  <c r="G11" i="23" l="1"/>
  <c r="Y14" i="20"/>
  <c r="AS7" i="17"/>
  <c r="AT7" i="17" s="1"/>
  <c r="AS6" i="17"/>
  <c r="AT6" i="17" s="1"/>
  <c r="AS8" i="17"/>
  <c r="AT8" i="17" s="1"/>
  <c r="R47" i="14"/>
  <c r="R46" i="14" s="1"/>
  <c r="R53" i="14"/>
  <c r="R52" i="14" s="1"/>
  <c r="AK14" i="20"/>
  <c r="AS5" i="17"/>
  <c r="AT5" i="17" s="1"/>
  <c r="Q28" i="14"/>
  <c r="Q45" i="14" s="1"/>
  <c r="AQ20" i="20"/>
  <c r="S14" i="20"/>
  <c r="AN14" i="20"/>
  <c r="AH14" i="20"/>
  <c r="V14" i="20"/>
  <c r="AB14" i="20"/>
  <c r="AE14" i="20"/>
  <c r="AK11" i="20"/>
  <c r="AM4" i="17"/>
  <c r="AL4" i="20" s="1"/>
  <c r="AL4" i="17"/>
  <c r="AK4" i="20" s="1"/>
  <c r="M11" i="20"/>
  <c r="AL7" i="20"/>
  <c r="AF4" i="17"/>
  <c r="AE4" i="20" s="1"/>
  <c r="Z4" i="17"/>
  <c r="Y4" i="20" s="1"/>
  <c r="W4" i="17"/>
  <c r="V4" i="20" s="1"/>
  <c r="AA4" i="17"/>
  <c r="Z4" i="20" s="1"/>
  <c r="U6" i="17"/>
  <c r="U4" i="17" s="1"/>
  <c r="T4" i="20" s="1"/>
  <c r="AR4" i="17"/>
  <c r="AG6" i="17"/>
  <c r="AG4" i="17" s="1"/>
  <c r="AF4" i="20" s="1"/>
  <c r="X6" i="17"/>
  <c r="X4" i="17" s="1"/>
  <c r="W4" i="20" s="1"/>
  <c r="AD6" i="17"/>
  <c r="AD4" i="17" s="1"/>
  <c r="AC4" i="20" s="1"/>
  <c r="K4" i="17"/>
  <c r="J4" i="20" s="1"/>
  <c r="L6" i="17"/>
  <c r="L4" i="17" s="1"/>
  <c r="K4" i="20" s="1"/>
  <c r="AJ6" i="17"/>
  <c r="AJ4" i="17" s="1"/>
  <c r="AI4" i="20" s="1"/>
  <c r="J14" i="20"/>
  <c r="AB11" i="20"/>
  <c r="AE20" i="20"/>
  <c r="AC6" i="20"/>
  <c r="Q5" i="20"/>
  <c r="AQ4" i="20"/>
  <c r="AQ8" i="20"/>
  <c r="AN8" i="20"/>
  <c r="AN11" i="20" s="1"/>
  <c r="K11" i="20"/>
  <c r="Y11" i="20"/>
  <c r="AE11" i="20"/>
  <c r="AH11" i="20"/>
  <c r="AP11" i="20"/>
  <c r="AQ11" i="20" s="1"/>
  <c r="AF5" i="20"/>
  <c r="Z6" i="20"/>
  <c r="N8" i="20"/>
  <c r="N11" i="20" s="1"/>
  <c r="S11" i="20"/>
  <c r="V11" i="20"/>
  <c r="AL11" i="20"/>
  <c r="T11" i="20"/>
  <c r="J11" i="20"/>
  <c r="AI5" i="20"/>
  <c r="H5" i="20"/>
  <c r="H11" i="20" s="1"/>
  <c r="W5" i="20"/>
  <c r="O48" i="1"/>
  <c r="P48" i="1" s="1"/>
  <c r="N48" i="1"/>
  <c r="M48" i="1"/>
  <c r="E17" i="20"/>
  <c r="C17" i="20" s="1"/>
  <c r="U13" i="23" l="1"/>
  <c r="F11" i="23"/>
  <c r="AS4" i="17"/>
  <c r="AT4" i="17" s="1"/>
  <c r="AC11" i="20"/>
  <c r="AO8" i="20"/>
  <c r="AO11" i="20" s="1"/>
  <c r="Q11" i="20"/>
  <c r="W11" i="20"/>
  <c r="Z11" i="20"/>
  <c r="AF11" i="20"/>
  <c r="AI11" i="20"/>
  <c r="Q19" i="1"/>
  <c r="Q20" i="1"/>
  <c r="G16" i="19"/>
  <c r="I16" i="19" s="1"/>
  <c r="X49" i="19"/>
  <c r="V49" i="19"/>
  <c r="G49" i="19"/>
  <c r="R48" i="19"/>
  <c r="R47" i="19" s="1"/>
  <c r="O48" i="19"/>
  <c r="V48" i="19" s="1"/>
  <c r="V47" i="19" s="1"/>
  <c r="G48" i="19"/>
  <c r="W47" i="19"/>
  <c r="U47" i="19"/>
  <c r="T47" i="19"/>
  <c r="S47" i="19"/>
  <c r="Q47" i="19"/>
  <c r="P47" i="19"/>
  <c r="O47" i="19"/>
  <c r="N47" i="19"/>
  <c r="M47" i="19"/>
  <c r="L47" i="19"/>
  <c r="K47" i="19"/>
  <c r="J47" i="19"/>
  <c r="X45" i="19"/>
  <c r="W45" i="19"/>
  <c r="V45" i="19"/>
  <c r="V42" i="19"/>
  <c r="W42" i="19" s="1"/>
  <c r="X42" i="19" s="1"/>
  <c r="G42" i="19"/>
  <c r="I42" i="19" s="1"/>
  <c r="G41" i="19"/>
  <c r="I41" i="19" s="1"/>
  <c r="U40" i="19"/>
  <c r="T40" i="19"/>
  <c r="S40" i="19"/>
  <c r="R40" i="19"/>
  <c r="Q40" i="19"/>
  <c r="P40" i="19"/>
  <c r="O40" i="19"/>
  <c r="N40" i="19"/>
  <c r="M40" i="19"/>
  <c r="L40" i="19"/>
  <c r="K40" i="19"/>
  <c r="J40" i="19"/>
  <c r="E40" i="19"/>
  <c r="G40" i="19" s="1"/>
  <c r="I40" i="19" s="1"/>
  <c r="U39" i="19"/>
  <c r="T39" i="19"/>
  <c r="S39" i="19"/>
  <c r="R39" i="19"/>
  <c r="Q39" i="19"/>
  <c r="P39" i="19"/>
  <c r="O39" i="19"/>
  <c r="N39" i="19"/>
  <c r="M39" i="19"/>
  <c r="L39" i="19"/>
  <c r="K39" i="19"/>
  <c r="I39" i="19"/>
  <c r="G38" i="19"/>
  <c r="I38" i="19" s="1"/>
  <c r="U37" i="19"/>
  <c r="T37" i="19"/>
  <c r="S37" i="19"/>
  <c r="R37" i="19"/>
  <c r="Q37" i="19"/>
  <c r="P37" i="19"/>
  <c r="O37" i="19"/>
  <c r="N37" i="19"/>
  <c r="M37" i="19"/>
  <c r="L37" i="19"/>
  <c r="K37" i="19"/>
  <c r="J37" i="19"/>
  <c r="G37" i="19"/>
  <c r="I37" i="19" s="1"/>
  <c r="U36" i="19"/>
  <c r="T36" i="19"/>
  <c r="S36" i="19"/>
  <c r="R36" i="19"/>
  <c r="Q36" i="19"/>
  <c r="P36" i="19"/>
  <c r="O36" i="19"/>
  <c r="N36" i="19"/>
  <c r="M36" i="19"/>
  <c r="L36" i="19"/>
  <c r="K36" i="19"/>
  <c r="J36" i="19"/>
  <c r="G36" i="19"/>
  <c r="I36" i="19" s="1"/>
  <c r="U35" i="19"/>
  <c r="T35" i="19"/>
  <c r="S35" i="19"/>
  <c r="R35" i="19"/>
  <c r="Q35" i="19"/>
  <c r="P35" i="19"/>
  <c r="O35" i="19"/>
  <c r="N35" i="19"/>
  <c r="M35" i="19"/>
  <c r="L35" i="19"/>
  <c r="K35" i="19"/>
  <c r="J35" i="19"/>
  <c r="V34" i="19"/>
  <c r="W34" i="19" s="1"/>
  <c r="X34" i="19" s="1"/>
  <c r="G34" i="19"/>
  <c r="I34" i="19" s="1"/>
  <c r="V33" i="19"/>
  <c r="W33" i="19" s="1"/>
  <c r="X33" i="19" s="1"/>
  <c r="G33" i="19"/>
  <c r="I33" i="19" s="1"/>
  <c r="V32" i="19"/>
  <c r="W32" i="19" s="1"/>
  <c r="X32" i="19" s="1"/>
  <c r="I32" i="19"/>
  <c r="V31" i="19"/>
  <c r="W31" i="19" s="1"/>
  <c r="X31" i="19" s="1"/>
  <c r="G31" i="19"/>
  <c r="I31" i="19" s="1"/>
  <c r="V30" i="19"/>
  <c r="W30" i="19" s="1"/>
  <c r="X30" i="19" s="1"/>
  <c r="G30" i="19"/>
  <c r="I30" i="19" s="1"/>
  <c r="V29" i="19"/>
  <c r="X29" i="19" s="1"/>
  <c r="G29" i="19"/>
  <c r="I29" i="19" s="1"/>
  <c r="G28" i="19"/>
  <c r="J28" i="19" s="1"/>
  <c r="V28" i="19" s="1"/>
  <c r="X28" i="19" s="1"/>
  <c r="V27" i="19"/>
  <c r="X27" i="19" s="1"/>
  <c r="G27" i="19"/>
  <c r="I27" i="19" s="1"/>
  <c r="K26" i="19"/>
  <c r="L26" i="19" s="1"/>
  <c r="G26" i="19"/>
  <c r="I26" i="19" s="1"/>
  <c r="U23" i="19"/>
  <c r="T23" i="19"/>
  <c r="S23" i="19"/>
  <c r="R23" i="19"/>
  <c r="Q23" i="19"/>
  <c r="P23" i="19"/>
  <c r="O23" i="19"/>
  <c r="N23" i="19"/>
  <c r="M23" i="19"/>
  <c r="L23" i="19"/>
  <c r="K23" i="19"/>
  <c r="J23" i="19"/>
  <c r="G23" i="19"/>
  <c r="I23" i="19" s="1"/>
  <c r="V22" i="19"/>
  <c r="G22" i="19"/>
  <c r="I22" i="19" s="1"/>
  <c r="V21" i="19"/>
  <c r="G21" i="19"/>
  <c r="I21" i="19" s="1"/>
  <c r="M20" i="19"/>
  <c r="J20" i="19"/>
  <c r="G20" i="19"/>
  <c r="I20" i="19" s="1"/>
  <c r="U19" i="19"/>
  <c r="T19" i="19"/>
  <c r="S19" i="19"/>
  <c r="R19" i="19"/>
  <c r="Q19" i="19"/>
  <c r="P19" i="19"/>
  <c r="O19" i="19"/>
  <c r="N19" i="19"/>
  <c r="M19" i="19"/>
  <c r="L19" i="19"/>
  <c r="K19" i="19"/>
  <c r="J19" i="19"/>
  <c r="G19" i="19"/>
  <c r="I19" i="19" s="1"/>
  <c r="V18" i="19"/>
  <c r="W18" i="19" s="1"/>
  <c r="X18" i="19" s="1"/>
  <c r="G18" i="19"/>
  <c r="I18" i="19" s="1"/>
  <c r="U17" i="19"/>
  <c r="T17" i="19"/>
  <c r="S17" i="19"/>
  <c r="R17" i="19"/>
  <c r="Q17" i="19"/>
  <c r="P17" i="19"/>
  <c r="O17" i="19"/>
  <c r="N17" i="19"/>
  <c r="M17" i="19"/>
  <c r="L17" i="19"/>
  <c r="K17" i="19"/>
  <c r="J17" i="19"/>
  <c r="G17" i="19"/>
  <c r="I17" i="19" s="1"/>
  <c r="U15" i="19"/>
  <c r="T15" i="19"/>
  <c r="S15" i="19"/>
  <c r="R15" i="19"/>
  <c r="Q15" i="19"/>
  <c r="P15" i="19"/>
  <c r="O15" i="19"/>
  <c r="N15" i="19"/>
  <c r="M15" i="19"/>
  <c r="L15" i="19"/>
  <c r="K15" i="19"/>
  <c r="J15" i="19"/>
  <c r="G15" i="19"/>
  <c r="I15" i="19" s="1"/>
  <c r="V12" i="19"/>
  <c r="I12" i="19"/>
  <c r="V11" i="19"/>
  <c r="I11" i="19"/>
  <c r="G11" i="19"/>
  <c r="V10" i="19"/>
  <c r="X10" i="19" s="1"/>
  <c r="I10" i="19"/>
  <c r="R9" i="19"/>
  <c r="O9" i="19"/>
  <c r="L9" i="19"/>
  <c r="I9" i="19"/>
  <c r="V8" i="19"/>
  <c r="X8" i="19" s="1"/>
  <c r="I8" i="19"/>
  <c r="U7" i="19"/>
  <c r="U6" i="19" s="1"/>
  <c r="T7" i="19"/>
  <c r="T6" i="19" s="1"/>
  <c r="S7" i="19"/>
  <c r="S6" i="19" s="1"/>
  <c r="R7" i="19"/>
  <c r="Q7" i="19"/>
  <c r="Q6" i="19" s="1"/>
  <c r="P7" i="19"/>
  <c r="O7" i="19"/>
  <c r="N7" i="19"/>
  <c r="N6" i="19" s="1"/>
  <c r="M7" i="19"/>
  <c r="M6" i="19" s="1"/>
  <c r="L7" i="19"/>
  <c r="K7" i="19"/>
  <c r="K6" i="19" s="1"/>
  <c r="J7" i="19"/>
  <c r="J6" i="19" s="1"/>
  <c r="G7" i="19"/>
  <c r="I7" i="19" s="1"/>
  <c r="P6" i="19"/>
  <c r="Q46" i="18"/>
  <c r="S46" i="18" s="1"/>
  <c r="M45" i="18"/>
  <c r="M44" i="18" s="1"/>
  <c r="J45" i="18"/>
  <c r="J44" i="18" s="1"/>
  <c r="R44" i="18"/>
  <c r="P44" i="18"/>
  <c r="O44" i="18"/>
  <c r="N44" i="18"/>
  <c r="L44" i="18"/>
  <c r="K44" i="18"/>
  <c r="I44" i="18"/>
  <c r="H44" i="18"/>
  <c r="G44" i="18"/>
  <c r="F44" i="18"/>
  <c r="E44" i="18"/>
  <c r="P38" i="18"/>
  <c r="O38" i="18"/>
  <c r="N38" i="18"/>
  <c r="M38" i="18"/>
  <c r="L38" i="18"/>
  <c r="K38" i="18"/>
  <c r="J38" i="18"/>
  <c r="I38" i="18"/>
  <c r="H38" i="18"/>
  <c r="G38" i="18"/>
  <c r="F38" i="18"/>
  <c r="E38" i="18"/>
  <c r="P37" i="18"/>
  <c r="O37" i="18"/>
  <c r="N37" i="18"/>
  <c r="M37" i="18"/>
  <c r="L37" i="18"/>
  <c r="K37" i="18"/>
  <c r="J37" i="18"/>
  <c r="I37" i="18"/>
  <c r="H37" i="18"/>
  <c r="G37" i="18"/>
  <c r="F37" i="18"/>
  <c r="P36" i="18"/>
  <c r="O36" i="18"/>
  <c r="N36" i="18"/>
  <c r="M36" i="18"/>
  <c r="L36" i="18"/>
  <c r="K36" i="18"/>
  <c r="J36" i="18"/>
  <c r="I36" i="18"/>
  <c r="H36" i="18"/>
  <c r="G36" i="18"/>
  <c r="F36" i="18"/>
  <c r="E36" i="18"/>
  <c r="P35" i="18"/>
  <c r="O35" i="18"/>
  <c r="N35" i="18"/>
  <c r="M35" i="18"/>
  <c r="L35" i="18"/>
  <c r="K35" i="18"/>
  <c r="J35" i="18"/>
  <c r="I35" i="18"/>
  <c r="H35" i="18"/>
  <c r="G35" i="18"/>
  <c r="F35" i="18"/>
  <c r="E35" i="18"/>
  <c r="Q33" i="18"/>
  <c r="Q32" i="18"/>
  <c r="Q31" i="18"/>
  <c r="Q30" i="18"/>
  <c r="Q29" i="18"/>
  <c r="P28" i="18"/>
  <c r="O28" i="18"/>
  <c r="N28" i="18"/>
  <c r="M28" i="18"/>
  <c r="L28" i="18"/>
  <c r="K28" i="18"/>
  <c r="J28" i="18"/>
  <c r="I28" i="18"/>
  <c r="H28" i="18"/>
  <c r="G28" i="18"/>
  <c r="F28" i="18"/>
  <c r="E28" i="18"/>
  <c r="Q27" i="18"/>
  <c r="R27" i="18" s="1"/>
  <c r="F26" i="18"/>
  <c r="P23" i="18"/>
  <c r="O23" i="18"/>
  <c r="N23" i="18"/>
  <c r="M23" i="18"/>
  <c r="L23" i="18"/>
  <c r="K23" i="18"/>
  <c r="J23" i="18"/>
  <c r="I23" i="18"/>
  <c r="H23" i="18"/>
  <c r="G23" i="18"/>
  <c r="F23" i="18"/>
  <c r="E23" i="18"/>
  <c r="Q22" i="18"/>
  <c r="H21" i="18"/>
  <c r="E21" i="18"/>
  <c r="P20" i="18"/>
  <c r="O20" i="18"/>
  <c r="N20" i="18"/>
  <c r="M20" i="18"/>
  <c r="L20" i="18"/>
  <c r="K20" i="18"/>
  <c r="J20" i="18"/>
  <c r="I20" i="18"/>
  <c r="H20" i="18"/>
  <c r="G20" i="18"/>
  <c r="F20" i="18"/>
  <c r="E20" i="18"/>
  <c r="Q19" i="18"/>
  <c r="R15" i="18"/>
  <c r="S13" i="18"/>
  <c r="M12" i="18"/>
  <c r="J12" i="18"/>
  <c r="G12" i="18"/>
  <c r="S11" i="18"/>
  <c r="P10" i="18"/>
  <c r="O10" i="18"/>
  <c r="N10" i="18"/>
  <c r="M10" i="18"/>
  <c r="L10" i="18"/>
  <c r="K10" i="18"/>
  <c r="J10" i="18"/>
  <c r="I10" i="18"/>
  <c r="H10" i="18"/>
  <c r="G10" i="18"/>
  <c r="F10" i="18"/>
  <c r="E10" i="18"/>
  <c r="E9" i="18"/>
  <c r="E8" i="18"/>
  <c r="E7" i="18"/>
  <c r="G13" i="23" l="1"/>
  <c r="F13" i="23" s="1"/>
  <c r="K14" i="19"/>
  <c r="S14" i="19"/>
  <c r="V20" i="19"/>
  <c r="O6" i="19"/>
  <c r="V9" i="19"/>
  <c r="R6" i="19"/>
  <c r="I35" i="19"/>
  <c r="V51" i="19"/>
  <c r="L6" i="19"/>
  <c r="V15" i="19"/>
  <c r="W15" i="19" s="1"/>
  <c r="X15" i="19" s="1"/>
  <c r="O14" i="19"/>
  <c r="V23" i="19"/>
  <c r="W23" i="19" s="1"/>
  <c r="X23" i="19" s="1"/>
  <c r="J25" i="19"/>
  <c r="V37" i="19"/>
  <c r="W37" i="19" s="1"/>
  <c r="X37" i="19" s="1"/>
  <c r="G47" i="19"/>
  <c r="P17" i="18"/>
  <c r="E25" i="18"/>
  <c r="E17" i="18"/>
  <c r="M17" i="18"/>
  <c r="F17" i="18"/>
  <c r="Q12" i="18"/>
  <c r="S12" i="18" s="1"/>
  <c r="F9" i="18"/>
  <c r="G9" i="18" s="1"/>
  <c r="H9" i="18" s="1"/>
  <c r="J14" i="19"/>
  <c r="J45" i="19" s="1"/>
  <c r="J51" i="19" s="1"/>
  <c r="N14" i="19"/>
  <c r="R14" i="19"/>
  <c r="Q10" i="18"/>
  <c r="S10" i="18" s="1"/>
  <c r="S27" i="18"/>
  <c r="Q45" i="18"/>
  <c r="S45" i="18" s="1"/>
  <c r="S44" i="18" s="1"/>
  <c r="V7" i="19"/>
  <c r="X7" i="19" s="1"/>
  <c r="M14" i="19"/>
  <c r="Q14" i="19"/>
  <c r="U14" i="19"/>
  <c r="U45" i="19" s="1"/>
  <c r="U51" i="19" s="1"/>
  <c r="V17" i="19"/>
  <c r="W17" i="19" s="1"/>
  <c r="X17" i="19" s="1"/>
  <c r="L14" i="19"/>
  <c r="P14" i="19"/>
  <c r="T14" i="19"/>
  <c r="I28" i="19"/>
  <c r="V36" i="19"/>
  <c r="W36" i="19" s="1"/>
  <c r="X36" i="19" s="1"/>
  <c r="V39" i="19"/>
  <c r="V40" i="19"/>
  <c r="W40" i="19" s="1"/>
  <c r="X40" i="19" s="1"/>
  <c r="W51" i="19"/>
  <c r="G26" i="18"/>
  <c r="H26" i="18" s="1"/>
  <c r="H25" i="18" s="1"/>
  <c r="F25" i="18"/>
  <c r="J17" i="18"/>
  <c r="N17" i="18"/>
  <c r="Q21" i="18"/>
  <c r="R21" i="18" s="1"/>
  <c r="S21" i="18" s="1"/>
  <c r="Q18" i="18"/>
  <c r="R32" i="18"/>
  <c r="S32" i="18" s="1"/>
  <c r="R31" i="18"/>
  <c r="S31" i="18" s="1"/>
  <c r="R19" i="18"/>
  <c r="S19" i="18" s="1"/>
  <c r="L17" i="18"/>
  <c r="R22" i="18"/>
  <c r="S22" i="18" s="1"/>
  <c r="R30" i="18"/>
  <c r="S30" i="18" s="1"/>
  <c r="R33" i="18"/>
  <c r="S33" i="18" s="1"/>
  <c r="Q36" i="18"/>
  <c r="Q37" i="18"/>
  <c r="Q38" i="18"/>
  <c r="Q39" i="18"/>
  <c r="R39" i="18" s="1"/>
  <c r="S39" i="18" s="1"/>
  <c r="R29" i="18"/>
  <c r="S29" i="18" s="1"/>
  <c r="Q23" i="18"/>
  <c r="K25" i="19"/>
  <c r="K45" i="19" s="1"/>
  <c r="K51" i="19" s="1"/>
  <c r="S15" i="18"/>
  <c r="H17" i="18"/>
  <c r="G17" i="18"/>
  <c r="K17" i="18"/>
  <c r="O17" i="18"/>
  <c r="Q28" i="18"/>
  <c r="I17" i="18"/>
  <c r="Q20" i="18"/>
  <c r="W20" i="19"/>
  <c r="X20" i="19" s="1"/>
  <c r="M26" i="19"/>
  <c r="L25" i="19"/>
  <c r="V19" i="19"/>
  <c r="W11" i="19"/>
  <c r="X11" i="19" s="1"/>
  <c r="W12" i="19"/>
  <c r="X12" i="19" s="1"/>
  <c r="W21" i="19"/>
  <c r="X21" i="19" s="1"/>
  <c r="X48" i="19"/>
  <c r="X47" i="19" s="1"/>
  <c r="X51" i="19" s="1"/>
  <c r="V35" i="19"/>
  <c r="W22" i="19"/>
  <c r="X22" i="19" s="1"/>
  <c r="G7" i="18"/>
  <c r="Q35" i="18"/>
  <c r="R14" i="18"/>
  <c r="R6" i="18" s="1"/>
  <c r="E6" i="18"/>
  <c r="L45" i="19" l="1"/>
  <c r="L51" i="19" s="1"/>
  <c r="E42" i="18"/>
  <c r="E48" i="18" s="1"/>
  <c r="E55" i="18" s="1"/>
  <c r="Q44" i="18"/>
  <c r="R18" i="18"/>
  <c r="S18" i="18" s="1"/>
  <c r="Q17" i="18"/>
  <c r="I26" i="18"/>
  <c r="I25" i="18" s="1"/>
  <c r="N9" i="18"/>
  <c r="O9" i="18" s="1"/>
  <c r="P9" i="18" s="1"/>
  <c r="G25" i="18"/>
  <c r="S14" i="18"/>
  <c r="R38" i="18"/>
  <c r="S38" i="18" s="1"/>
  <c r="R35" i="18"/>
  <c r="S35" i="18" s="1"/>
  <c r="R20" i="18"/>
  <c r="S20" i="18" s="1"/>
  <c r="R28" i="18"/>
  <c r="R37" i="18"/>
  <c r="S37" i="18" s="1"/>
  <c r="R36" i="18"/>
  <c r="S36" i="18" s="1"/>
  <c r="R23" i="18"/>
  <c r="M25" i="19"/>
  <c r="M45" i="19" s="1"/>
  <c r="M51" i="19" s="1"/>
  <c r="N26" i="19"/>
  <c r="W19" i="19"/>
  <c r="X19" i="19" s="1"/>
  <c r="H7" i="18"/>
  <c r="N7" i="18" s="1"/>
  <c r="J26" i="18" l="1"/>
  <c r="J25" i="18" s="1"/>
  <c r="S28" i="18"/>
  <c r="R25" i="18"/>
  <c r="R17" i="18"/>
  <c r="S23" i="18"/>
  <c r="S17" i="18" s="1"/>
  <c r="N25" i="19"/>
  <c r="N45" i="19" s="1"/>
  <c r="N51" i="19" s="1"/>
  <c r="O26" i="19"/>
  <c r="K26" i="18" l="1"/>
  <c r="K25" i="18" s="1"/>
  <c r="R42" i="18"/>
  <c r="R48" i="18" s="1"/>
  <c r="R55" i="18" s="1"/>
  <c r="P26" i="19"/>
  <c r="O25" i="19"/>
  <c r="O45" i="19" s="1"/>
  <c r="O51" i="19" s="1"/>
  <c r="L26" i="18"/>
  <c r="L25" i="18" s="1"/>
  <c r="Q26" i="19" l="1"/>
  <c r="P25" i="19"/>
  <c r="P45" i="19" s="1"/>
  <c r="P51" i="19" s="1"/>
  <c r="M26" i="18"/>
  <c r="M25" i="18" s="1"/>
  <c r="Q25" i="19" l="1"/>
  <c r="Q45" i="19" s="1"/>
  <c r="Q51" i="19" s="1"/>
  <c r="R26" i="19"/>
  <c r="N26" i="18"/>
  <c r="N25" i="18" s="1"/>
  <c r="R25" i="19" l="1"/>
  <c r="R45" i="19" s="1"/>
  <c r="R51" i="19" s="1"/>
  <c r="S26" i="19"/>
  <c r="O26" i="18"/>
  <c r="O25" i="18" s="1"/>
  <c r="T26" i="19" l="1"/>
  <c r="S25" i="19"/>
  <c r="S45" i="19" s="1"/>
  <c r="S51" i="19" s="1"/>
  <c r="P26" i="18"/>
  <c r="P25" i="18" s="1"/>
  <c r="U26" i="19" l="1"/>
  <c r="V26" i="19" s="1"/>
  <c r="X26" i="19" s="1"/>
  <c r="T25" i="19"/>
  <c r="T45" i="19" s="1"/>
  <c r="T51" i="19" s="1"/>
  <c r="Q26" i="18"/>
  <c r="Q25" i="18" s="1"/>
  <c r="O7" i="18"/>
  <c r="S26" i="18" l="1"/>
  <c r="S25" i="18" s="1"/>
  <c r="P7" i="18"/>
  <c r="Q7" i="18" s="1"/>
  <c r="S7" i="18" l="1"/>
  <c r="G4" i="17" l="1"/>
  <c r="F4" i="20" s="1"/>
  <c r="G11" i="17"/>
  <c r="H4" i="17"/>
  <c r="D10" i="17"/>
  <c r="D8" i="17"/>
  <c r="I5" i="17"/>
  <c r="I6" i="17"/>
  <c r="AP11" i="17"/>
  <c r="AO11" i="17"/>
  <c r="AM11" i="17"/>
  <c r="AL11" i="17"/>
  <c r="AJ11" i="17"/>
  <c r="AI11" i="17"/>
  <c r="AH11" i="17"/>
  <c r="AG11" i="17"/>
  <c r="AF11" i="17"/>
  <c r="AE11" i="17"/>
  <c r="AD11" i="17"/>
  <c r="AC11" i="17"/>
  <c r="AB11" i="17"/>
  <c r="AA11" i="17"/>
  <c r="Z11" i="17"/>
  <c r="Y11" i="17"/>
  <c r="X11" i="17"/>
  <c r="W11" i="17"/>
  <c r="V11" i="17"/>
  <c r="U11" i="17"/>
  <c r="T11" i="17"/>
  <c r="R11" i="17"/>
  <c r="Q11" i="17"/>
  <c r="O11" i="17"/>
  <c r="N11" i="17"/>
  <c r="L11" i="17"/>
  <c r="K11" i="17"/>
  <c r="M9" i="17"/>
  <c r="AR9" i="17" s="1"/>
  <c r="AT9" i="17" s="1"/>
  <c r="D9" i="17"/>
  <c r="F9" i="17" s="1"/>
  <c r="I27" i="16"/>
  <c r="G8" i="16"/>
  <c r="H8" i="16"/>
  <c r="G7" i="16"/>
  <c r="H7" i="16"/>
  <c r="G6" i="16"/>
  <c r="H6" i="16"/>
  <c r="H54" i="16"/>
  <c r="G54" i="16"/>
  <c r="D54" i="16"/>
  <c r="C54" i="16"/>
  <c r="K53" i="16"/>
  <c r="I53" i="16"/>
  <c r="E53" i="16"/>
  <c r="K52" i="16"/>
  <c r="I52" i="16"/>
  <c r="E52" i="16"/>
  <c r="H51" i="16"/>
  <c r="G51" i="16"/>
  <c r="D51" i="16"/>
  <c r="C51" i="16"/>
  <c r="K50" i="16"/>
  <c r="I50" i="16"/>
  <c r="E50" i="16"/>
  <c r="K49" i="16"/>
  <c r="I49" i="16"/>
  <c r="E49" i="16"/>
  <c r="I48" i="16"/>
  <c r="D48" i="16"/>
  <c r="C48" i="16"/>
  <c r="K47" i="16"/>
  <c r="I47" i="16"/>
  <c r="E47" i="16"/>
  <c r="K46" i="16"/>
  <c r="I46" i="16"/>
  <c r="E46" i="16"/>
  <c r="I45" i="16"/>
  <c r="D45" i="16"/>
  <c r="K45" i="16" s="1"/>
  <c r="K44" i="16"/>
  <c r="I44" i="16"/>
  <c r="E44" i="16"/>
  <c r="K43" i="16"/>
  <c r="I43" i="16"/>
  <c r="E43" i="16"/>
  <c r="I42" i="16"/>
  <c r="J42" i="16" s="1"/>
  <c r="J45" i="16" s="1"/>
  <c r="D42" i="16"/>
  <c r="K42" i="16" s="1"/>
  <c r="K41" i="16"/>
  <c r="I41" i="16"/>
  <c r="J41" i="16" s="1"/>
  <c r="J44" i="16" s="1"/>
  <c r="J47" i="16" s="1"/>
  <c r="E41" i="16"/>
  <c r="F41" i="16" s="1"/>
  <c r="F44" i="16" s="1"/>
  <c r="F47" i="16" s="1"/>
  <c r="K40" i="16"/>
  <c r="I40" i="16"/>
  <c r="J40" i="16" s="1"/>
  <c r="E40" i="16"/>
  <c r="F40" i="16" s="1"/>
  <c r="F43" i="16" s="1"/>
  <c r="F46" i="16" s="1"/>
  <c r="H32" i="16"/>
  <c r="H10" i="16" s="1"/>
  <c r="G32" i="16"/>
  <c r="D32" i="16"/>
  <c r="C32" i="16"/>
  <c r="K31" i="16"/>
  <c r="I31" i="16"/>
  <c r="E31" i="16"/>
  <c r="K30" i="16"/>
  <c r="I30" i="16"/>
  <c r="E30" i="16"/>
  <c r="H29" i="16"/>
  <c r="G29" i="16"/>
  <c r="D29" i="16"/>
  <c r="C29" i="16"/>
  <c r="K28" i="16"/>
  <c r="I28" i="16"/>
  <c r="E28" i="16"/>
  <c r="K27" i="16"/>
  <c r="E27" i="16"/>
  <c r="I26" i="16"/>
  <c r="I8" i="16" s="1"/>
  <c r="D26" i="16"/>
  <c r="C26" i="16"/>
  <c r="K25" i="16"/>
  <c r="I25" i="16"/>
  <c r="E25" i="16"/>
  <c r="K24" i="16"/>
  <c r="I24" i="16"/>
  <c r="E24" i="16"/>
  <c r="I23" i="16"/>
  <c r="I7" i="16" s="1"/>
  <c r="D23" i="16"/>
  <c r="K23" i="16" s="1"/>
  <c r="K22" i="16"/>
  <c r="I22" i="16"/>
  <c r="E22" i="16"/>
  <c r="K21" i="16"/>
  <c r="I21" i="16"/>
  <c r="E21" i="16"/>
  <c r="I20" i="16"/>
  <c r="D20" i="16"/>
  <c r="K19" i="16"/>
  <c r="I19" i="16"/>
  <c r="J19" i="16" s="1"/>
  <c r="J22" i="16" s="1"/>
  <c r="J25" i="16" s="1"/>
  <c r="J28" i="16" s="1"/>
  <c r="J31" i="16" s="1"/>
  <c r="E19" i="16"/>
  <c r="F19" i="16" s="1"/>
  <c r="F22" i="16" s="1"/>
  <c r="F25" i="16" s="1"/>
  <c r="F28" i="16" s="1"/>
  <c r="K18" i="16"/>
  <c r="I18" i="16"/>
  <c r="J18" i="16" s="1"/>
  <c r="E18" i="16"/>
  <c r="F18" i="16" s="1"/>
  <c r="E10" i="17" l="1"/>
  <c r="F10" i="17"/>
  <c r="AN10" i="17"/>
  <c r="AN11" i="17" s="1"/>
  <c r="S10" i="17"/>
  <c r="S11" i="17" s="1"/>
  <c r="J10" i="17"/>
  <c r="AQ10" i="17"/>
  <c r="AK10" i="17"/>
  <c r="AK11" i="17" s="1"/>
  <c r="P10" i="17"/>
  <c r="P11" i="17" s="1"/>
  <c r="M10" i="17"/>
  <c r="E8" i="17"/>
  <c r="I4" i="17"/>
  <c r="H4" i="20" s="1"/>
  <c r="G4" i="20"/>
  <c r="C4" i="17"/>
  <c r="D4" i="23" s="1"/>
  <c r="D6" i="17"/>
  <c r="I11" i="17"/>
  <c r="M11" i="17"/>
  <c r="F50" i="16"/>
  <c r="J48" i="16"/>
  <c r="I54" i="16"/>
  <c r="F31" i="16"/>
  <c r="G60" i="16"/>
  <c r="F49" i="16"/>
  <c r="F52" i="16" s="1"/>
  <c r="H9" i="16"/>
  <c r="H12" i="16" s="1"/>
  <c r="K7" i="16"/>
  <c r="I32" i="16"/>
  <c r="I10" i="16" s="1"/>
  <c r="D7" i="17"/>
  <c r="C11" i="17"/>
  <c r="D60" i="16"/>
  <c r="F21" i="16"/>
  <c r="F24" i="16" s="1"/>
  <c r="F27" i="16" s="1"/>
  <c r="F30" i="16" s="1"/>
  <c r="I6" i="16"/>
  <c r="G10" i="16"/>
  <c r="E32" i="16"/>
  <c r="F53" i="16"/>
  <c r="E54" i="16"/>
  <c r="G9" i="16"/>
  <c r="G12" i="16" s="1"/>
  <c r="J21" i="16"/>
  <c r="J24" i="16" s="1"/>
  <c r="J27" i="16" s="1"/>
  <c r="J30" i="16" s="1"/>
  <c r="C60" i="16"/>
  <c r="I29" i="16"/>
  <c r="J43" i="16"/>
  <c r="J46" i="16" s="1"/>
  <c r="J49" i="16" s="1"/>
  <c r="J52" i="16" s="1"/>
  <c r="K48" i="16"/>
  <c r="I51" i="16"/>
  <c r="K51" i="16"/>
  <c r="J20" i="16"/>
  <c r="K29" i="16"/>
  <c r="J50" i="16"/>
  <c r="J53" i="16" s="1"/>
  <c r="E29" i="16"/>
  <c r="E51" i="16"/>
  <c r="K54" i="16"/>
  <c r="E20" i="16"/>
  <c r="K20" i="16"/>
  <c r="K6" i="16" s="1"/>
  <c r="E23" i="16"/>
  <c r="H36" i="16"/>
  <c r="E42" i="16"/>
  <c r="E45" i="16"/>
  <c r="H57" i="16"/>
  <c r="K32" i="16"/>
  <c r="K10" i="16" s="1"/>
  <c r="E26" i="16"/>
  <c r="K26" i="16"/>
  <c r="E48" i="16"/>
  <c r="H60" i="16"/>
  <c r="F8" i="17" l="1"/>
  <c r="U6" i="23"/>
  <c r="X6" i="23" s="1"/>
  <c r="G4" i="23"/>
  <c r="G9" i="23" s="1"/>
  <c r="D9" i="23"/>
  <c r="AR10" i="17"/>
  <c r="AQ11" i="17"/>
  <c r="E7" i="17"/>
  <c r="E6" i="17"/>
  <c r="F6" i="17" s="1"/>
  <c r="D4" i="20"/>
  <c r="D11" i="20" s="1"/>
  <c r="K8" i="16"/>
  <c r="K12" i="16" s="1"/>
  <c r="C12" i="16"/>
  <c r="D12" i="16"/>
  <c r="K9" i="16"/>
  <c r="I60" i="16"/>
  <c r="J51" i="16"/>
  <c r="J54" i="16" s="1"/>
  <c r="I9" i="16"/>
  <c r="I12" i="16" s="1"/>
  <c r="F42" i="16"/>
  <c r="F45" i="16" s="1"/>
  <c r="F48" i="16" s="1"/>
  <c r="F51" i="16" s="1"/>
  <c r="F54" i="16" s="1"/>
  <c r="J23" i="16"/>
  <c r="F20" i="16"/>
  <c r="E60" i="16"/>
  <c r="F7" i="17" l="1"/>
  <c r="U5" i="23"/>
  <c r="X5" i="23" s="1"/>
  <c r="W4" i="23"/>
  <c r="W9" i="23" s="1"/>
  <c r="AS10" i="17"/>
  <c r="AS11" i="17" s="1"/>
  <c r="AT10" i="17"/>
  <c r="AT11" i="17" s="1"/>
  <c r="E12" i="16"/>
  <c r="F23" i="16"/>
  <c r="F26" i="16" s="1"/>
  <c r="F29" i="16" s="1"/>
  <c r="J26" i="16"/>
  <c r="F32" i="16" l="1"/>
  <c r="J29" i="16"/>
  <c r="J32" i="16" l="1"/>
  <c r="E20" i="20" l="1"/>
  <c r="D20" i="20" l="1"/>
  <c r="C20" i="20" l="1"/>
  <c r="H7" i="10" l="1"/>
  <c r="H8" i="10"/>
  <c r="H9" i="10"/>
  <c r="H10" i="10"/>
  <c r="H11" i="10"/>
  <c r="H12" i="10"/>
  <c r="H13" i="10"/>
  <c r="H15" i="10"/>
  <c r="H16" i="10"/>
  <c r="H17" i="10"/>
  <c r="H18" i="10"/>
  <c r="H19" i="10"/>
  <c r="H20" i="10"/>
  <c r="H21" i="10"/>
  <c r="H22" i="10"/>
  <c r="H23" i="10"/>
  <c r="H24" i="10"/>
  <c r="H25" i="10"/>
  <c r="H26" i="10"/>
  <c r="H27" i="10"/>
  <c r="J10" i="10"/>
  <c r="J15" i="10"/>
  <c r="J18" i="10"/>
  <c r="J23" i="10"/>
  <c r="I10" i="10"/>
  <c r="I15" i="10"/>
  <c r="I18" i="10"/>
  <c r="I23" i="10"/>
  <c r="E27" i="10"/>
  <c r="T27" i="10" s="1"/>
  <c r="E11" i="10"/>
  <c r="T11" i="10" s="1"/>
  <c r="E12" i="10"/>
  <c r="T12" i="10" s="1"/>
  <c r="E13" i="10"/>
  <c r="T13" i="10" s="1"/>
  <c r="E14" i="10"/>
  <c r="T14" i="10" s="1"/>
  <c r="E16" i="10"/>
  <c r="T16" i="10" s="1"/>
  <c r="E17" i="10"/>
  <c r="T17" i="10" s="1"/>
  <c r="E19" i="10"/>
  <c r="T19" i="10" s="1"/>
  <c r="E20" i="10"/>
  <c r="T20" i="10" s="1"/>
  <c r="E21" i="10"/>
  <c r="T21" i="10" s="1"/>
  <c r="E22" i="10"/>
  <c r="E24" i="10"/>
  <c r="T24" i="10" s="1"/>
  <c r="E25" i="10"/>
  <c r="T25" i="10" s="1"/>
  <c r="E26" i="10"/>
  <c r="D27" i="10"/>
  <c r="AE26" i="10" l="1"/>
  <c r="T26" i="10"/>
  <c r="AD27" i="10"/>
  <c r="S27" i="10"/>
  <c r="J22" i="10"/>
  <c r="T22" i="10"/>
  <c r="I27" i="10"/>
  <c r="J26" i="10"/>
  <c r="AA27" i="10"/>
  <c r="AB23" i="10"/>
  <c r="AB15" i="10"/>
  <c r="AB10" i="10"/>
  <c r="AB18" i="10"/>
  <c r="H5" i="10"/>
  <c r="D7" i="14" s="1"/>
  <c r="J14" i="10"/>
  <c r="J25" i="10"/>
  <c r="J21" i="10"/>
  <c r="J17" i="10"/>
  <c r="J13" i="10"/>
  <c r="F27" i="10"/>
  <c r="J24" i="10"/>
  <c r="J20" i="10"/>
  <c r="J16" i="10"/>
  <c r="J12" i="10"/>
  <c r="J27" i="10"/>
  <c r="J19" i="10"/>
  <c r="J11" i="10"/>
  <c r="AE27" i="10"/>
  <c r="E7" i="10"/>
  <c r="T7" i="10" s="1"/>
  <c r="E8" i="10"/>
  <c r="T8" i="10" s="1"/>
  <c r="E9" i="10"/>
  <c r="T9" i="10" s="1"/>
  <c r="E6" i="10"/>
  <c r="T6" i="10" s="1"/>
  <c r="T5" i="10" s="1"/>
  <c r="I9" i="18" s="1"/>
  <c r="J9" i="18" l="1"/>
  <c r="K9" i="18" s="1"/>
  <c r="L9" i="18" s="1"/>
  <c r="M9" i="18" s="1"/>
  <c r="J6" i="10"/>
  <c r="G27" i="10"/>
  <c r="K27" i="10" s="1"/>
  <c r="O27" i="10" s="1"/>
  <c r="P27" i="10" s="1"/>
  <c r="Q27" i="10" s="1"/>
  <c r="U27" i="10" s="1"/>
  <c r="V27" i="10" s="1"/>
  <c r="W27" i="10" s="1"/>
  <c r="X27" i="10" s="1"/>
  <c r="Y27" i="10" s="1"/>
  <c r="Z27" i="10" s="1"/>
  <c r="E7" i="14"/>
  <c r="J7" i="10"/>
  <c r="J9" i="10"/>
  <c r="J8" i="10"/>
  <c r="AE7" i="10"/>
  <c r="AE8" i="10"/>
  <c r="AE9" i="10"/>
  <c r="AE11" i="10"/>
  <c r="AE12" i="10"/>
  <c r="AE13" i="10"/>
  <c r="AE14" i="10"/>
  <c r="AE16" i="10"/>
  <c r="AE17" i="10"/>
  <c r="AE19" i="10"/>
  <c r="AE20" i="10"/>
  <c r="AE21" i="10"/>
  <c r="AE22" i="10"/>
  <c r="AE24" i="10"/>
  <c r="AE25" i="10"/>
  <c r="AE6" i="10"/>
  <c r="D7" i="10"/>
  <c r="D8" i="10"/>
  <c r="D9" i="10"/>
  <c r="S9" i="10" s="1"/>
  <c r="D11" i="10"/>
  <c r="S11" i="10" s="1"/>
  <c r="D12" i="10"/>
  <c r="S12" i="10" s="1"/>
  <c r="D13" i="10"/>
  <c r="S13" i="10" s="1"/>
  <c r="D14" i="10"/>
  <c r="S14" i="10" s="1"/>
  <c r="D16" i="10"/>
  <c r="S16" i="10" s="1"/>
  <c r="D17" i="10"/>
  <c r="S17" i="10" s="1"/>
  <c r="D19" i="10"/>
  <c r="S19" i="10" s="1"/>
  <c r="D20" i="10"/>
  <c r="S20" i="10" s="1"/>
  <c r="D21" i="10"/>
  <c r="S21" i="10" s="1"/>
  <c r="D22" i="10"/>
  <c r="S22" i="10" s="1"/>
  <c r="D24" i="10"/>
  <c r="S24" i="10" s="1"/>
  <c r="D25" i="10"/>
  <c r="S25" i="10" s="1"/>
  <c r="D26" i="10"/>
  <c r="S26" i="10" s="1"/>
  <c r="D6" i="10"/>
  <c r="S6" i="10" s="1"/>
  <c r="G30" i="9"/>
  <c r="AA8" i="10" l="1"/>
  <c r="S8" i="10"/>
  <c r="Q9" i="18"/>
  <c r="S9" i="18" s="1"/>
  <c r="AA7" i="10"/>
  <c r="S7" i="10"/>
  <c r="S5" i="10" s="1"/>
  <c r="I8" i="18" s="1"/>
  <c r="J8" i="18" s="1"/>
  <c r="K8" i="18" s="1"/>
  <c r="L8" i="18" s="1"/>
  <c r="M8" i="18" s="1"/>
  <c r="AD25" i="10"/>
  <c r="I25" i="10"/>
  <c r="AA25" i="10"/>
  <c r="AD14" i="10"/>
  <c r="M14" i="10"/>
  <c r="M5" i="10" s="1"/>
  <c r="F8" i="18" s="1"/>
  <c r="I14" i="10"/>
  <c r="AD9" i="10"/>
  <c r="I9" i="10"/>
  <c r="F19" i="10"/>
  <c r="G19" i="10" s="1"/>
  <c r="AD19" i="10"/>
  <c r="I19" i="10"/>
  <c r="AA19" i="10"/>
  <c r="AD8" i="10"/>
  <c r="I8" i="10"/>
  <c r="AD26" i="10"/>
  <c r="I26" i="10"/>
  <c r="AA26" i="10"/>
  <c r="AD21" i="10"/>
  <c r="I21" i="10"/>
  <c r="AA21" i="10"/>
  <c r="AD16" i="10"/>
  <c r="I16" i="10"/>
  <c r="AA16" i="10"/>
  <c r="AD11" i="10"/>
  <c r="I11" i="10"/>
  <c r="AA11" i="10"/>
  <c r="AE5" i="10"/>
  <c r="AD20" i="10"/>
  <c r="I20" i="10"/>
  <c r="AA20" i="10"/>
  <c r="AD24" i="10"/>
  <c r="I24" i="10"/>
  <c r="AA24" i="10"/>
  <c r="AD13" i="10"/>
  <c r="I13" i="10"/>
  <c r="AA13" i="10"/>
  <c r="J5" i="10"/>
  <c r="D9" i="14" s="1"/>
  <c r="F6" i="10"/>
  <c r="G6" i="10" s="1"/>
  <c r="AD6" i="10"/>
  <c r="I6" i="10"/>
  <c r="AD22" i="10"/>
  <c r="I22" i="10"/>
  <c r="AA22" i="10"/>
  <c r="AD17" i="10"/>
  <c r="I17" i="10"/>
  <c r="AA17" i="10"/>
  <c r="AD12" i="10"/>
  <c r="I12" i="10"/>
  <c r="AA12" i="10"/>
  <c r="AD7" i="10"/>
  <c r="I7" i="10"/>
  <c r="AA9" i="10"/>
  <c r="AB27" i="10"/>
  <c r="AA6" i="10"/>
  <c r="AD5" i="10"/>
  <c r="F7" i="14"/>
  <c r="K19" i="10"/>
  <c r="O19" i="10" s="1"/>
  <c r="K6" i="10"/>
  <c r="F24" i="10"/>
  <c r="G24" i="10" s="1"/>
  <c r="F8" i="10"/>
  <c r="G8" i="10" s="1"/>
  <c r="F22" i="10"/>
  <c r="G22" i="10" s="1"/>
  <c r="F17" i="10"/>
  <c r="G17" i="10" s="1"/>
  <c r="F12" i="10"/>
  <c r="G12" i="10" s="1"/>
  <c r="F7" i="10"/>
  <c r="G7" i="10" s="1"/>
  <c r="F13" i="10"/>
  <c r="G13" i="10" s="1"/>
  <c r="F26" i="10"/>
  <c r="G26" i="10" s="1"/>
  <c r="F21" i="10"/>
  <c r="G21" i="10" s="1"/>
  <c r="F16" i="10"/>
  <c r="G16" i="10" s="1"/>
  <c r="F11" i="10"/>
  <c r="G11" i="10" s="1"/>
  <c r="F25" i="10"/>
  <c r="G25" i="10" s="1"/>
  <c r="F20" i="10"/>
  <c r="G20" i="10" s="1"/>
  <c r="F14" i="10"/>
  <c r="F9" i="10"/>
  <c r="O6" i="10" l="1"/>
  <c r="G9" i="10"/>
  <c r="G14" i="10"/>
  <c r="E9" i="14"/>
  <c r="F9" i="14" s="1"/>
  <c r="G9" i="14" s="1"/>
  <c r="H9" i="14" s="1"/>
  <c r="I9" i="14" s="1"/>
  <c r="J9" i="14" s="1"/>
  <c r="K9" i="14" s="1"/>
  <c r="L9" i="14" s="1"/>
  <c r="M9" i="14" s="1"/>
  <c r="N9" i="14" s="1"/>
  <c r="O9" i="14" s="1"/>
  <c r="G8" i="18"/>
  <c r="F6" i="18"/>
  <c r="F42" i="18" s="1"/>
  <c r="F48" i="18" s="1"/>
  <c r="F55" i="18" s="1"/>
  <c r="P19" i="10"/>
  <c r="Q19" i="10" s="1"/>
  <c r="U19" i="10" s="1"/>
  <c r="V19" i="10" s="1"/>
  <c r="W19" i="10" s="1"/>
  <c r="X19" i="10" s="1"/>
  <c r="Y19" i="10" s="1"/>
  <c r="Z19" i="10" s="1"/>
  <c r="G7" i="14"/>
  <c r="I5" i="10"/>
  <c r="D8" i="14" s="1"/>
  <c r="P6" i="10"/>
  <c r="K20" i="10"/>
  <c r="O20" i="10" s="1"/>
  <c r="K21" i="10"/>
  <c r="O21" i="10" s="1"/>
  <c r="K22" i="10"/>
  <c r="O22" i="10" s="1"/>
  <c r="O14" i="10"/>
  <c r="P14" i="10" s="1"/>
  <c r="Q14" i="10" s="1"/>
  <c r="U14" i="10" s="1"/>
  <c r="V14" i="10" s="1"/>
  <c r="W14" i="10" s="1"/>
  <c r="X14" i="10" s="1"/>
  <c r="Y14" i="10" s="1"/>
  <c r="Z14" i="10" s="1"/>
  <c r="AA14" i="10" s="1"/>
  <c r="AA5" i="10" s="1"/>
  <c r="K13" i="10"/>
  <c r="O13" i="10" s="1"/>
  <c r="K25" i="10"/>
  <c r="O25" i="10" s="1"/>
  <c r="K26" i="10"/>
  <c r="O26" i="10" s="1"/>
  <c r="K7" i="10"/>
  <c r="K8" i="10"/>
  <c r="O8" i="10" s="1"/>
  <c r="K16" i="10"/>
  <c r="O16" i="10" s="1"/>
  <c r="K17" i="10"/>
  <c r="O17" i="10" s="1"/>
  <c r="K9" i="10"/>
  <c r="O9" i="10" s="1"/>
  <c r="K11" i="10"/>
  <c r="O11" i="10" s="1"/>
  <c r="K12" i="10"/>
  <c r="O12" i="10" s="1"/>
  <c r="K24" i="10"/>
  <c r="O24" i="10" s="1"/>
  <c r="G5" i="10" l="1"/>
  <c r="P9" i="14"/>
  <c r="R9" i="14" s="1"/>
  <c r="K5" i="10"/>
  <c r="AB19" i="10"/>
  <c r="H8" i="18"/>
  <c r="N8" i="18" s="1"/>
  <c r="G6" i="18"/>
  <c r="G42" i="18" s="1"/>
  <c r="G48" i="18" s="1"/>
  <c r="G55" i="18" s="1"/>
  <c r="P24" i="10"/>
  <c r="Q24" i="10" s="1"/>
  <c r="U24" i="10" s="1"/>
  <c r="V24" i="10" s="1"/>
  <c r="W24" i="10" s="1"/>
  <c r="X24" i="10" s="1"/>
  <c r="Y24" i="10" s="1"/>
  <c r="Z24" i="10" s="1"/>
  <c r="P17" i="10"/>
  <c r="Q17" i="10" s="1"/>
  <c r="U17" i="10" s="1"/>
  <c r="V17" i="10" s="1"/>
  <c r="W17" i="10" s="1"/>
  <c r="X17" i="10" s="1"/>
  <c r="Y17" i="10" s="1"/>
  <c r="Z17" i="10" s="1"/>
  <c r="P26" i="10"/>
  <c r="Q26" i="10" s="1"/>
  <c r="U26" i="10" s="1"/>
  <c r="V26" i="10" s="1"/>
  <c r="W26" i="10" s="1"/>
  <c r="X26" i="10" s="1"/>
  <c r="Y26" i="10" s="1"/>
  <c r="Z26" i="10" s="1"/>
  <c r="P22" i="10"/>
  <c r="Q22" i="10" s="1"/>
  <c r="U22" i="10" s="1"/>
  <c r="V22" i="10" s="1"/>
  <c r="W22" i="10" s="1"/>
  <c r="X22" i="10" s="1"/>
  <c r="Y22" i="10" s="1"/>
  <c r="Z22" i="10" s="1"/>
  <c r="AB14" i="10"/>
  <c r="P9" i="10"/>
  <c r="Q9" i="10" s="1"/>
  <c r="U9" i="10" s="1"/>
  <c r="V9" i="10" s="1"/>
  <c r="W9" i="10" s="1"/>
  <c r="X9" i="10" s="1"/>
  <c r="Y9" i="10" s="1"/>
  <c r="Z9" i="10" s="1"/>
  <c r="P12" i="10"/>
  <c r="Q12" i="10" s="1"/>
  <c r="U12" i="10" s="1"/>
  <c r="V12" i="10" s="1"/>
  <c r="W12" i="10" s="1"/>
  <c r="X12" i="10" s="1"/>
  <c r="Y12" i="10" s="1"/>
  <c r="Z12" i="10" s="1"/>
  <c r="P16" i="10"/>
  <c r="Q16" i="10" s="1"/>
  <c r="U16" i="10" s="1"/>
  <c r="V16" i="10" s="1"/>
  <c r="W16" i="10" s="1"/>
  <c r="X16" i="10" s="1"/>
  <c r="Y16" i="10" s="1"/>
  <c r="Z16" i="10" s="1"/>
  <c r="P25" i="10"/>
  <c r="Q25" i="10" s="1"/>
  <c r="U25" i="10" s="1"/>
  <c r="V25" i="10" s="1"/>
  <c r="W25" i="10" s="1"/>
  <c r="X25" i="10" s="1"/>
  <c r="Y25" i="10" s="1"/>
  <c r="Z25" i="10" s="1"/>
  <c r="P21" i="10"/>
  <c r="Q21" i="10" s="1"/>
  <c r="U21" i="10" s="1"/>
  <c r="V21" i="10" s="1"/>
  <c r="W21" i="10" s="1"/>
  <c r="X21" i="10" s="1"/>
  <c r="Y21" i="10" s="1"/>
  <c r="Z21" i="10" s="1"/>
  <c r="P11" i="10"/>
  <c r="Q11" i="10" s="1"/>
  <c r="U11" i="10" s="1"/>
  <c r="V11" i="10" s="1"/>
  <c r="W11" i="10" s="1"/>
  <c r="X11" i="10" s="1"/>
  <c r="Y11" i="10" s="1"/>
  <c r="Z11" i="10" s="1"/>
  <c r="P8" i="10"/>
  <c r="Q8" i="10" s="1"/>
  <c r="U8" i="10" s="1"/>
  <c r="V8" i="10" s="1"/>
  <c r="W8" i="10" s="1"/>
  <c r="X8" i="10" s="1"/>
  <c r="Y8" i="10" s="1"/>
  <c r="Z8" i="10" s="1"/>
  <c r="P13" i="10"/>
  <c r="Q13" i="10" s="1"/>
  <c r="U13" i="10" s="1"/>
  <c r="V13" i="10" s="1"/>
  <c r="W13" i="10" s="1"/>
  <c r="X13" i="10" s="1"/>
  <c r="Y13" i="10" s="1"/>
  <c r="Z13" i="10" s="1"/>
  <c r="P20" i="10"/>
  <c r="Q20" i="10" s="1"/>
  <c r="U20" i="10" s="1"/>
  <c r="V20" i="10" s="1"/>
  <c r="W20" i="10" s="1"/>
  <c r="X20" i="10" s="1"/>
  <c r="Y20" i="10" s="1"/>
  <c r="Z20" i="10" s="1"/>
  <c r="H7" i="14"/>
  <c r="E8" i="14"/>
  <c r="D6" i="14"/>
  <c r="Q6" i="10"/>
  <c r="O7" i="10"/>
  <c r="AB17" i="10" l="1"/>
  <c r="AB11" i="10"/>
  <c r="AB25" i="10"/>
  <c r="AB12" i="10"/>
  <c r="AB13" i="10"/>
  <c r="AB16" i="10"/>
  <c r="AB9" i="10"/>
  <c r="H6" i="18"/>
  <c r="H42" i="18" s="1"/>
  <c r="H48" i="18" s="1"/>
  <c r="H55" i="18" s="1"/>
  <c r="AB22" i="10"/>
  <c r="O5" i="10"/>
  <c r="AB20" i="10"/>
  <c r="AB8" i="10"/>
  <c r="AB21" i="10"/>
  <c r="AB26" i="10"/>
  <c r="AB24" i="10"/>
  <c r="I7" i="14"/>
  <c r="F8" i="14"/>
  <c r="E6" i="14"/>
  <c r="D18" i="14"/>
  <c r="I13" i="20"/>
  <c r="U6" i="10"/>
  <c r="P7" i="10"/>
  <c r="P5" i="10" s="1"/>
  <c r="I6" i="18" l="1"/>
  <c r="I42" i="18" s="1"/>
  <c r="I48" i="18" s="1"/>
  <c r="I55" i="18" s="1"/>
  <c r="P18" i="14"/>
  <c r="D17" i="14"/>
  <c r="G8" i="14"/>
  <c r="F6" i="14"/>
  <c r="H13" i="20"/>
  <c r="G13" i="20" s="1"/>
  <c r="J7" i="14"/>
  <c r="L13" i="20"/>
  <c r="V6" i="10"/>
  <c r="Q7" i="10"/>
  <c r="Q5" i="10" s="1"/>
  <c r="P18" i="1"/>
  <c r="J6" i="18" l="1"/>
  <c r="J42" i="18" s="1"/>
  <c r="J48" i="18" s="1"/>
  <c r="J55" i="18" s="1"/>
  <c r="K7" i="14"/>
  <c r="K13" i="20"/>
  <c r="O13" i="20"/>
  <c r="H8" i="14"/>
  <c r="G6" i="14"/>
  <c r="D50" i="14"/>
  <c r="D57" i="14" s="1"/>
  <c r="I14" i="20"/>
  <c r="Q18" i="14"/>
  <c r="Q17" i="14" s="1"/>
  <c r="P17" i="14"/>
  <c r="W6" i="10"/>
  <c r="U7" i="10"/>
  <c r="U12" i="23" l="1"/>
  <c r="U14" i="23" s="1"/>
  <c r="Q60" i="14"/>
  <c r="Q62" i="14" s="1"/>
  <c r="E12" i="23"/>
  <c r="D12" i="23" s="1"/>
  <c r="E14" i="20"/>
  <c r="K6" i="18"/>
  <c r="K42" i="18" s="1"/>
  <c r="K48" i="18" s="1"/>
  <c r="K55" i="18" s="1"/>
  <c r="U5" i="10"/>
  <c r="J13" i="20"/>
  <c r="R18" i="14"/>
  <c r="R17" i="14" s="1"/>
  <c r="H14" i="20"/>
  <c r="AQ14" i="20"/>
  <c r="I16" i="20"/>
  <c r="I18" i="20" s="1"/>
  <c r="I19" i="20" s="1"/>
  <c r="I21" i="20" s="1"/>
  <c r="I8" i="14"/>
  <c r="H6" i="14"/>
  <c r="N13" i="20"/>
  <c r="Q50" i="14"/>
  <c r="Q57" i="14" s="1"/>
  <c r="L7" i="14"/>
  <c r="R13" i="20"/>
  <c r="X6" i="10"/>
  <c r="V7" i="10"/>
  <c r="V5" i="10" s="1"/>
  <c r="E19" i="6"/>
  <c r="E7" i="6"/>
  <c r="F7" i="6" s="1"/>
  <c r="E6" i="6"/>
  <c r="D7" i="6"/>
  <c r="D6" i="6"/>
  <c r="D4" i="6"/>
  <c r="E4" i="6"/>
  <c r="E12" i="6" s="1"/>
  <c r="D20" i="6"/>
  <c r="E20" i="6" s="1"/>
  <c r="D26" i="6"/>
  <c r="F26" i="6"/>
  <c r="B23" i="17" s="1"/>
  <c r="D27" i="6"/>
  <c r="F27" i="6" s="1"/>
  <c r="D32" i="6"/>
  <c r="D33" i="6"/>
  <c r="F33" i="6" s="1"/>
  <c r="D34" i="6"/>
  <c r="E35" i="6"/>
  <c r="C12" i="23" l="1"/>
  <c r="G12" i="23"/>
  <c r="G14" i="23" s="1"/>
  <c r="D13" i="6"/>
  <c r="F13" i="6" s="1"/>
  <c r="D12" i="6"/>
  <c r="F28" i="6"/>
  <c r="C23" i="17"/>
  <c r="E21" i="6"/>
  <c r="D23" i="17"/>
  <c r="L6" i="18"/>
  <c r="L42" i="18" s="1"/>
  <c r="L48" i="18" s="1"/>
  <c r="L55" i="18" s="1"/>
  <c r="M13" i="20"/>
  <c r="Q13" i="20"/>
  <c r="J8" i="14"/>
  <c r="I6" i="14"/>
  <c r="M7" i="14"/>
  <c r="U13" i="20"/>
  <c r="G14" i="20"/>
  <c r="G16" i="20" s="1"/>
  <c r="G18" i="20" s="1"/>
  <c r="G19" i="20" s="1"/>
  <c r="G21" i="20" s="1"/>
  <c r="H16" i="20"/>
  <c r="H18" i="20" s="1"/>
  <c r="H19" i="20" s="1"/>
  <c r="H21" i="20" s="1"/>
  <c r="B21" i="17"/>
  <c r="D21" i="17" s="1"/>
  <c r="F34" i="6"/>
  <c r="B22" i="17"/>
  <c r="D22" i="17" s="1"/>
  <c r="E13" i="6"/>
  <c r="E14" i="6" s="1"/>
  <c r="F12" i="6"/>
  <c r="B20" i="17" s="1"/>
  <c r="Y6" i="10"/>
  <c r="W7" i="10"/>
  <c r="W5" i="10" s="1"/>
  <c r="F32" i="6"/>
  <c r="F35" i="6" s="1"/>
  <c r="E5" i="6"/>
  <c r="D5" i="6"/>
  <c r="F6" i="6"/>
  <c r="F5" i="6" s="1"/>
  <c r="D21" i="6"/>
  <c r="B24" i="17" s="1"/>
  <c r="D24" i="17" s="1"/>
  <c r="F19" i="6"/>
  <c r="D35" i="6"/>
  <c r="D28" i="6"/>
  <c r="F20" i="6"/>
  <c r="D14" i="6"/>
  <c r="C20" i="17" l="1"/>
  <c r="C25" i="17" s="1"/>
  <c r="E40" i="6"/>
  <c r="D20" i="17"/>
  <c r="M6" i="18"/>
  <c r="M42" i="18" s="1"/>
  <c r="M48" i="18" s="1"/>
  <c r="M55" i="18" s="1"/>
  <c r="P13" i="20"/>
  <c r="N7" i="14"/>
  <c r="T13" i="20"/>
  <c r="K8" i="14"/>
  <c r="J6" i="14"/>
  <c r="X13" i="20"/>
  <c r="B25" i="17"/>
  <c r="D25" i="17"/>
  <c r="D39" i="6"/>
  <c r="E39" i="6"/>
  <c r="E41" i="6" s="1"/>
  <c r="F21" i="6"/>
  <c r="F14" i="6"/>
  <c r="H14" i="6" s="1"/>
  <c r="D40" i="6"/>
  <c r="F40" i="6" s="1"/>
  <c r="Z6" i="10"/>
  <c r="X7" i="10"/>
  <c r="X5" i="10" s="1"/>
  <c r="F39" i="6" l="1"/>
  <c r="O8" i="18"/>
  <c r="N6" i="18"/>
  <c r="N42" i="18" s="1"/>
  <c r="N48" i="18" s="1"/>
  <c r="N55" i="18" s="1"/>
  <c r="AB6" i="10"/>
  <c r="S13" i="20"/>
  <c r="AA13" i="20"/>
  <c r="L8" i="14"/>
  <c r="K6" i="14"/>
  <c r="O7" i="14"/>
  <c r="W13" i="20"/>
  <c r="D41" i="6"/>
  <c r="F41" i="6" s="1"/>
  <c r="Y7" i="10"/>
  <c r="Y5" i="10" s="1"/>
  <c r="P8" i="18" l="1"/>
  <c r="Q8" i="18" s="1"/>
  <c r="O6" i="18"/>
  <c r="O42" i="18" s="1"/>
  <c r="O48" i="18" s="1"/>
  <c r="O55" i="18" s="1"/>
  <c r="V13" i="20"/>
  <c r="M8" i="14"/>
  <c r="L6" i="14"/>
  <c r="Z13" i="20"/>
  <c r="AD13" i="20"/>
  <c r="P7" i="14"/>
  <c r="Z7" i="10"/>
  <c r="O18" i="1"/>
  <c r="H7" i="4"/>
  <c r="H8" i="4"/>
  <c r="H9" i="4"/>
  <c r="H10" i="4"/>
  <c r="H11" i="4"/>
  <c r="H12" i="4"/>
  <c r="F13" i="4"/>
  <c r="H13" i="4" s="1"/>
  <c r="D13" i="4"/>
  <c r="K12" i="4"/>
  <c r="K11" i="4"/>
  <c r="K10" i="4"/>
  <c r="K9" i="4"/>
  <c r="K8" i="4"/>
  <c r="K7" i="4"/>
  <c r="K6" i="4"/>
  <c r="H6" i="4"/>
  <c r="P37" i="1"/>
  <c r="E6" i="3"/>
  <c r="H6" i="3"/>
  <c r="F7" i="3" s="1"/>
  <c r="C15" i="3"/>
  <c r="C17" i="3"/>
  <c r="E17" i="3"/>
  <c r="H17" i="3" s="1"/>
  <c r="G7" i="3" l="1"/>
  <c r="G10" i="3" s="1"/>
  <c r="P6" i="18"/>
  <c r="P42" i="18" s="1"/>
  <c r="P48" i="18" s="1"/>
  <c r="P55" i="18" s="1"/>
  <c r="AB7" i="10"/>
  <c r="AB5" i="10" s="1"/>
  <c r="Z5" i="10"/>
  <c r="Y13" i="20"/>
  <c r="AC13" i="20"/>
  <c r="AG13" i="20"/>
  <c r="R7" i="14"/>
  <c r="N8" i="14"/>
  <c r="M6" i="14"/>
  <c r="E7" i="3"/>
  <c r="E9" i="3" s="1"/>
  <c r="K13" i="4"/>
  <c r="F18" i="3"/>
  <c r="F19" i="3" s="1"/>
  <c r="G18" i="3"/>
  <c r="G19" i="3" s="1"/>
  <c r="F9" i="3"/>
  <c r="F11" i="3"/>
  <c r="F13" i="3"/>
  <c r="F14" i="3"/>
  <c r="F10" i="3"/>
  <c r="F12" i="3"/>
  <c r="E14" i="3"/>
  <c r="G13" i="3"/>
  <c r="E12" i="3"/>
  <c r="G11" i="3"/>
  <c r="E10" i="3"/>
  <c r="I10" i="3" s="1"/>
  <c r="D10" i="3" s="1"/>
  <c r="H10" i="3" s="1"/>
  <c r="G9" i="3"/>
  <c r="D7" i="3"/>
  <c r="H7" i="3" s="1"/>
  <c r="E18" i="3"/>
  <c r="G14" i="3"/>
  <c r="E13" i="3"/>
  <c r="G12" i="3"/>
  <c r="E11" i="3"/>
  <c r="I11" i="3" s="1"/>
  <c r="D11" i="3" s="1"/>
  <c r="H11" i="3" s="1"/>
  <c r="I13" i="3" l="1"/>
  <c r="D13" i="3" s="1"/>
  <c r="H13" i="3" s="1"/>
  <c r="S8" i="18"/>
  <c r="S6" i="18" s="1"/>
  <c r="Q6" i="18"/>
  <c r="Q42" i="18" s="1"/>
  <c r="Q48" i="18" s="1"/>
  <c r="Q55" i="18" s="1"/>
  <c r="AB13" i="20"/>
  <c r="AF13" i="20"/>
  <c r="O8" i="14"/>
  <c r="N6" i="14"/>
  <c r="AJ13" i="20"/>
  <c r="G15" i="3"/>
  <c r="I14" i="3"/>
  <c r="D14" i="3" s="1"/>
  <c r="H14" i="3" s="1"/>
  <c r="F15" i="3"/>
  <c r="H18" i="3"/>
  <c r="E19" i="3"/>
  <c r="E15" i="3"/>
  <c r="E29" i="14" s="1"/>
  <c r="I12" i="3"/>
  <c r="D12" i="3" s="1"/>
  <c r="H12" i="3" s="1"/>
  <c r="I9" i="3"/>
  <c r="D9" i="3" s="1"/>
  <c r="F29" i="14" l="1"/>
  <c r="G29" i="14" s="1"/>
  <c r="E28" i="14"/>
  <c r="H19" i="3"/>
  <c r="J19" i="3"/>
  <c r="AE13" i="20"/>
  <c r="P8" i="14"/>
  <c r="O6" i="14"/>
  <c r="AM13" i="20"/>
  <c r="AI13" i="20"/>
  <c r="D15" i="3"/>
  <c r="H15" i="3" s="1"/>
  <c r="H9" i="3"/>
  <c r="I15" i="3"/>
  <c r="L15" i="20" l="1"/>
  <c r="E50" i="14"/>
  <c r="E57" i="14" s="1"/>
  <c r="F28" i="14"/>
  <c r="G28" i="14"/>
  <c r="H29" i="14"/>
  <c r="R8" i="14"/>
  <c r="R6" i="14" s="1"/>
  <c r="P6" i="14"/>
  <c r="AL13" i="20"/>
  <c r="AH13" i="20"/>
  <c r="AP13" i="20"/>
  <c r="N9" i="1"/>
  <c r="E11" i="23" l="1"/>
  <c r="E13" i="20"/>
  <c r="H28" i="14"/>
  <c r="I29" i="14"/>
  <c r="J29" i="14" s="1"/>
  <c r="O15" i="20"/>
  <c r="F50" i="14"/>
  <c r="F57" i="14" s="1"/>
  <c r="R15" i="20"/>
  <c r="G50" i="14"/>
  <c r="G57" i="14" s="1"/>
  <c r="K15" i="20"/>
  <c r="L16" i="20"/>
  <c r="L18" i="20" s="1"/>
  <c r="L19" i="20" s="1"/>
  <c r="L21" i="20" s="1"/>
  <c r="AK13" i="20"/>
  <c r="AO13" i="20"/>
  <c r="AQ13" i="20"/>
  <c r="L8" i="1"/>
  <c r="N8" i="1"/>
  <c r="M8" i="1"/>
  <c r="N7" i="1"/>
  <c r="M7" i="1"/>
  <c r="N32" i="1"/>
  <c r="N40" i="1"/>
  <c r="N42" i="1"/>
  <c r="M42" i="1"/>
  <c r="L42" i="1"/>
  <c r="K42" i="1"/>
  <c r="J42" i="1"/>
  <c r="I42" i="1"/>
  <c r="H42" i="1"/>
  <c r="G42" i="1"/>
  <c r="F42" i="1"/>
  <c r="N43" i="1"/>
  <c r="Q43" i="1" s="1"/>
  <c r="L54" i="1"/>
  <c r="N41" i="1"/>
  <c r="H41" i="1"/>
  <c r="O37" i="1"/>
  <c r="N37" i="1"/>
  <c r="N34" i="1"/>
  <c r="N33" i="1"/>
  <c r="N30" i="1"/>
  <c r="Q12" i="1"/>
  <c r="N38" i="1"/>
  <c r="M38" i="1"/>
  <c r="D13" i="20" l="1"/>
  <c r="C13" i="20" s="1"/>
  <c r="D11" i="23"/>
  <c r="I28" i="14"/>
  <c r="X15" i="20" s="1"/>
  <c r="N15" i="20"/>
  <c r="O16" i="20"/>
  <c r="O18" i="20" s="1"/>
  <c r="O19" i="20" s="1"/>
  <c r="O21" i="20" s="1"/>
  <c r="J28" i="14"/>
  <c r="K29" i="14"/>
  <c r="J15" i="20"/>
  <c r="J16" i="20" s="1"/>
  <c r="J18" i="20" s="1"/>
  <c r="J19" i="20" s="1"/>
  <c r="J21" i="20" s="1"/>
  <c r="K16" i="20"/>
  <c r="K18" i="20" s="1"/>
  <c r="K19" i="20" s="1"/>
  <c r="K21" i="20" s="1"/>
  <c r="Q15" i="20"/>
  <c r="R16" i="20"/>
  <c r="R18" i="20" s="1"/>
  <c r="R19" i="20" s="1"/>
  <c r="R21" i="20" s="1"/>
  <c r="U15" i="20"/>
  <c r="H50" i="14"/>
  <c r="H57" i="14" s="1"/>
  <c r="AN13" i="20"/>
  <c r="N36" i="1"/>
  <c r="C11" i="23" l="1"/>
  <c r="V11" i="23" s="1"/>
  <c r="X11" i="23" s="1"/>
  <c r="I50" i="14"/>
  <c r="I57" i="14" s="1"/>
  <c r="K28" i="14"/>
  <c r="L29" i="14"/>
  <c r="T15" i="20"/>
  <c r="U16" i="20"/>
  <c r="U18" i="20" s="1"/>
  <c r="U19" i="20" s="1"/>
  <c r="U21" i="20" s="1"/>
  <c r="P15" i="20"/>
  <c r="P16" i="20" s="1"/>
  <c r="P18" i="20" s="1"/>
  <c r="P19" i="20" s="1"/>
  <c r="P21" i="20" s="1"/>
  <c r="Q16" i="20"/>
  <c r="Q18" i="20" s="1"/>
  <c r="Q19" i="20" s="1"/>
  <c r="Q21" i="20" s="1"/>
  <c r="AA15" i="20"/>
  <c r="J50" i="14"/>
  <c r="J57" i="14" s="1"/>
  <c r="M15" i="20"/>
  <c r="M16" i="20" s="1"/>
  <c r="M18" i="20" s="1"/>
  <c r="M19" i="20" s="1"/>
  <c r="M21" i="20" s="1"/>
  <c r="N16" i="20"/>
  <c r="N18" i="20" s="1"/>
  <c r="N19" i="20" s="1"/>
  <c r="N21" i="20" s="1"/>
  <c r="W15" i="20"/>
  <c r="X16" i="20"/>
  <c r="X18" i="20" s="1"/>
  <c r="X19" i="20" s="1"/>
  <c r="X21" i="20" s="1"/>
  <c r="Q49" i="1"/>
  <c r="S49" i="1" s="1"/>
  <c r="I47" i="1"/>
  <c r="K47" i="1"/>
  <c r="L47" i="1"/>
  <c r="N47" i="1"/>
  <c r="O47" i="1"/>
  <c r="P47" i="1"/>
  <c r="Q8" i="1"/>
  <c r="S8" i="1" s="1"/>
  <c r="Q10" i="1"/>
  <c r="S10" i="1" s="1"/>
  <c r="Q11" i="1"/>
  <c r="S11" i="1" s="1"/>
  <c r="Q13" i="1"/>
  <c r="S13" i="1" s="1"/>
  <c r="Q14" i="1"/>
  <c r="R14" i="1" s="1"/>
  <c r="E47" i="1"/>
  <c r="Q55" i="1"/>
  <c r="Q56" i="1"/>
  <c r="R56" i="1" s="1"/>
  <c r="M54" i="1"/>
  <c r="L53" i="1"/>
  <c r="K54" i="1"/>
  <c r="I54" i="1"/>
  <c r="I53" i="1" s="1"/>
  <c r="H54" i="1"/>
  <c r="H53" i="1" s="1"/>
  <c r="G54" i="1"/>
  <c r="G53" i="1" s="1"/>
  <c r="E54" i="1"/>
  <c r="E53" i="1" s="1"/>
  <c r="P53" i="1"/>
  <c r="O53" i="1"/>
  <c r="N53" i="1"/>
  <c r="J53" i="1"/>
  <c r="F53" i="1"/>
  <c r="M47" i="1"/>
  <c r="J48" i="1"/>
  <c r="J47" i="1" s="1"/>
  <c r="R47" i="1"/>
  <c r="H47" i="1"/>
  <c r="G47" i="1"/>
  <c r="F47" i="1"/>
  <c r="Q41" i="1"/>
  <c r="R41" i="1" s="1"/>
  <c r="S41" i="1" s="1"/>
  <c r="M40" i="1"/>
  <c r="L40" i="1"/>
  <c r="K40" i="1"/>
  <c r="J40" i="1"/>
  <c r="I40" i="1"/>
  <c r="H40" i="1"/>
  <c r="E40" i="1"/>
  <c r="L39" i="1"/>
  <c r="K38" i="1"/>
  <c r="Q38" i="1" s="1"/>
  <c r="R38" i="1" s="1"/>
  <c r="S38" i="1" s="1"/>
  <c r="M37" i="1"/>
  <c r="L37" i="1"/>
  <c r="K37" i="1"/>
  <c r="J37" i="1"/>
  <c r="I37" i="1"/>
  <c r="H37" i="1"/>
  <c r="G37" i="1"/>
  <c r="F37" i="1"/>
  <c r="M36" i="1"/>
  <c r="L36" i="1"/>
  <c r="K36" i="1"/>
  <c r="J36" i="1"/>
  <c r="H36" i="1"/>
  <c r="G36" i="1"/>
  <c r="F36" i="1"/>
  <c r="E36" i="1"/>
  <c r="H35" i="1"/>
  <c r="M34" i="1"/>
  <c r="E34" i="1"/>
  <c r="M33" i="1"/>
  <c r="L33" i="1"/>
  <c r="K33" i="1"/>
  <c r="J33" i="1"/>
  <c r="I33" i="1"/>
  <c r="H33" i="1"/>
  <c r="M32" i="1"/>
  <c r="L32" i="1"/>
  <c r="K32" i="1"/>
  <c r="J32" i="1"/>
  <c r="I32" i="1"/>
  <c r="H32" i="1"/>
  <c r="G32" i="1"/>
  <c r="F32" i="1"/>
  <c r="E32" i="1"/>
  <c r="J31" i="1"/>
  <c r="G31" i="1"/>
  <c r="Q30" i="1"/>
  <c r="S30" i="1" s="1"/>
  <c r="P29" i="1"/>
  <c r="O29" i="1"/>
  <c r="N29" i="1"/>
  <c r="Q27" i="1"/>
  <c r="R27" i="1" s="1"/>
  <c r="S27" i="1" s="1"/>
  <c r="Q26" i="1"/>
  <c r="R26" i="1" s="1"/>
  <c r="S26" i="1" s="1"/>
  <c r="Q25" i="1"/>
  <c r="Q24" i="1"/>
  <c r="R24" i="1" s="1"/>
  <c r="Q21" i="1"/>
  <c r="K23" i="1"/>
  <c r="K17" i="1" s="1"/>
  <c r="I23" i="1"/>
  <c r="I17" i="1" s="1"/>
  <c r="H23" i="1"/>
  <c r="H17" i="1" s="1"/>
  <c r="Q22" i="1"/>
  <c r="R22" i="1" s="1"/>
  <c r="S22" i="1" s="1"/>
  <c r="Q18" i="1"/>
  <c r="R18" i="1" s="1"/>
  <c r="P17" i="1"/>
  <c r="O17" i="1"/>
  <c r="N17" i="1"/>
  <c r="M17" i="1"/>
  <c r="L17" i="1"/>
  <c r="J17" i="1"/>
  <c r="G17" i="1"/>
  <c r="F17" i="1"/>
  <c r="E17" i="1"/>
  <c r="L15" i="1"/>
  <c r="Q15" i="1" s="1"/>
  <c r="M9" i="1"/>
  <c r="L9" i="1"/>
  <c r="K9" i="1"/>
  <c r="J9" i="1"/>
  <c r="J6" i="1" s="1"/>
  <c r="I9" i="1"/>
  <c r="I6" i="1" s="1"/>
  <c r="H9" i="1"/>
  <c r="H6" i="1" s="1"/>
  <c r="G9" i="1"/>
  <c r="G6" i="1" s="1"/>
  <c r="F9" i="1"/>
  <c r="E9" i="1"/>
  <c r="L7" i="1"/>
  <c r="K7" i="1"/>
  <c r="F7" i="1"/>
  <c r="P6" i="1"/>
  <c r="O6" i="1"/>
  <c r="N6" i="1"/>
  <c r="V15" i="20" l="1"/>
  <c r="V16" i="20" s="1"/>
  <c r="V18" i="20" s="1"/>
  <c r="V19" i="20" s="1"/>
  <c r="V21" i="20" s="1"/>
  <c r="W16" i="20"/>
  <c r="W18" i="20" s="1"/>
  <c r="W19" i="20" s="1"/>
  <c r="W21" i="20" s="1"/>
  <c r="Z15" i="20"/>
  <c r="AA16" i="20"/>
  <c r="AA18" i="20" s="1"/>
  <c r="AA19" i="20" s="1"/>
  <c r="AA21" i="20" s="1"/>
  <c r="S15" i="20"/>
  <c r="S16" i="20" s="1"/>
  <c r="S18" i="20" s="1"/>
  <c r="S19" i="20" s="1"/>
  <c r="S21" i="20" s="1"/>
  <c r="T16" i="20"/>
  <c r="T18" i="20" s="1"/>
  <c r="T19" i="20" s="1"/>
  <c r="T21" i="20" s="1"/>
  <c r="AD15" i="20"/>
  <c r="K50" i="14"/>
  <c r="K57" i="14" s="1"/>
  <c r="M29" i="14"/>
  <c r="L28" i="14"/>
  <c r="E29" i="1"/>
  <c r="Q23" i="1"/>
  <c r="Q17" i="1" s="1"/>
  <c r="Q9" i="1"/>
  <c r="S9" i="1" s="1"/>
  <c r="L6" i="1"/>
  <c r="O45" i="1"/>
  <c r="O51" i="1" s="1"/>
  <c r="O59" i="1" s="1"/>
  <c r="Q40" i="1"/>
  <c r="R40" i="1" s="1"/>
  <c r="S40" i="1" s="1"/>
  <c r="I29" i="1"/>
  <c r="I45" i="1" s="1"/>
  <c r="I51" i="1" s="1"/>
  <c r="I59" i="1" s="1"/>
  <c r="P45" i="1"/>
  <c r="P51" i="1" s="1"/>
  <c r="P59" i="1" s="1"/>
  <c r="Q34" i="1"/>
  <c r="R34" i="1" s="1"/>
  <c r="S34" i="1" s="1"/>
  <c r="M53" i="1"/>
  <c r="N45" i="1"/>
  <c r="N51" i="1" s="1"/>
  <c r="N59" i="1" s="1"/>
  <c r="F6" i="1"/>
  <c r="Q48" i="1"/>
  <c r="M6" i="1"/>
  <c r="M29" i="1"/>
  <c r="Q54" i="1"/>
  <c r="R54" i="1" s="1"/>
  <c r="K53" i="1"/>
  <c r="Q31" i="1"/>
  <c r="S31" i="1" s="1"/>
  <c r="K29" i="1"/>
  <c r="Q7" i="1"/>
  <c r="E6" i="1"/>
  <c r="H29" i="1"/>
  <c r="H45" i="1" s="1"/>
  <c r="H51" i="1" s="1"/>
  <c r="H59" i="1" s="1"/>
  <c r="S56" i="1"/>
  <c r="S14" i="1"/>
  <c r="G29" i="1"/>
  <c r="G45" i="1" s="1"/>
  <c r="G51" i="1" s="1"/>
  <c r="G59" i="1" s="1"/>
  <c r="Q42" i="1"/>
  <c r="R42" i="1" s="1"/>
  <c r="S42" i="1" s="1"/>
  <c r="R55" i="1"/>
  <c r="S55" i="1" s="1"/>
  <c r="S18" i="1"/>
  <c r="L29" i="1"/>
  <c r="K6" i="1"/>
  <c r="Q33" i="1"/>
  <c r="R33" i="1" s="1"/>
  <c r="S33" i="1" s="1"/>
  <c r="Q36" i="1"/>
  <c r="R36" i="1" s="1"/>
  <c r="S36" i="1" s="1"/>
  <c r="F29" i="1"/>
  <c r="S24" i="1"/>
  <c r="R25" i="1"/>
  <c r="S25" i="1" s="1"/>
  <c r="Q32" i="1"/>
  <c r="R32" i="1" s="1"/>
  <c r="R15" i="1"/>
  <c r="R6" i="1" s="1"/>
  <c r="Q37" i="1"/>
  <c r="R37" i="1" s="1"/>
  <c r="S37" i="1" s="1"/>
  <c r="R21" i="1"/>
  <c r="S21" i="1" s="1"/>
  <c r="J29" i="1"/>
  <c r="J45" i="1" s="1"/>
  <c r="J51" i="1" s="1"/>
  <c r="J59" i="1" s="1"/>
  <c r="Q35" i="1"/>
  <c r="R35" i="1" s="1"/>
  <c r="S35" i="1" s="1"/>
  <c r="Q39" i="1"/>
  <c r="R39" i="1" s="1"/>
  <c r="S39" i="1" s="1"/>
  <c r="AG15" i="20" l="1"/>
  <c r="L50" i="14"/>
  <c r="L57" i="14" s="1"/>
  <c r="AC15" i="20"/>
  <c r="AD16" i="20"/>
  <c r="AD18" i="20" s="1"/>
  <c r="AD19" i="20" s="1"/>
  <c r="AD21" i="20" s="1"/>
  <c r="Y15" i="20"/>
  <c r="Y16" i="20" s="1"/>
  <c r="Y18" i="20" s="1"/>
  <c r="Y19" i="20" s="1"/>
  <c r="Y21" i="20" s="1"/>
  <c r="Z16" i="20"/>
  <c r="Z18" i="20" s="1"/>
  <c r="Z19" i="20" s="1"/>
  <c r="Z21" i="20" s="1"/>
  <c r="M28" i="14"/>
  <c r="N29" i="14"/>
  <c r="E45" i="1"/>
  <c r="R23" i="1"/>
  <c r="R17" i="1" s="1"/>
  <c r="Q6" i="1"/>
  <c r="F45" i="1"/>
  <c r="F51" i="1" s="1"/>
  <c r="F59" i="1" s="1"/>
  <c r="Q53" i="1"/>
  <c r="L45" i="1"/>
  <c r="L51" i="1" s="1"/>
  <c r="L59" i="1" s="1"/>
  <c r="S7" i="1"/>
  <c r="K45" i="1"/>
  <c r="K51" i="1" s="1"/>
  <c r="K59" i="1" s="1"/>
  <c r="M45" i="1"/>
  <c r="M51" i="1" s="1"/>
  <c r="M59" i="1" s="1"/>
  <c r="Q47" i="1"/>
  <c r="S48" i="1"/>
  <c r="S47" i="1" s="1"/>
  <c r="E51" i="1"/>
  <c r="E59" i="1" s="1"/>
  <c r="R53" i="1"/>
  <c r="S32" i="1"/>
  <c r="S29" i="1" s="1"/>
  <c r="R29" i="1"/>
  <c r="S54" i="1"/>
  <c r="S53" i="1" s="1"/>
  <c r="Q29" i="1"/>
  <c r="S15" i="1"/>
  <c r="N28" i="14" l="1"/>
  <c r="O29" i="14"/>
  <c r="P29" i="14" s="1"/>
  <c r="P28" i="14" s="1"/>
  <c r="P45" i="14" s="1"/>
  <c r="AJ15" i="20"/>
  <c r="M50" i="14"/>
  <c r="M57" i="14" s="1"/>
  <c r="AB15" i="20"/>
  <c r="AB16" i="20" s="1"/>
  <c r="AB18" i="20" s="1"/>
  <c r="AB19" i="20" s="1"/>
  <c r="AB21" i="20" s="1"/>
  <c r="AC16" i="20"/>
  <c r="AC18" i="20" s="1"/>
  <c r="AC19" i="20" s="1"/>
  <c r="AC21" i="20" s="1"/>
  <c r="AF15" i="20"/>
  <c r="AG16" i="20"/>
  <c r="AG18" i="20" s="1"/>
  <c r="AG19" i="20" s="1"/>
  <c r="AG21" i="20" s="1"/>
  <c r="S23" i="1"/>
  <c r="S17" i="1" s="1"/>
  <c r="Q45" i="1"/>
  <c r="Q51" i="1" s="1"/>
  <c r="Q59" i="1" s="1"/>
  <c r="S6" i="1"/>
  <c r="R45" i="1"/>
  <c r="R51" i="1" s="1"/>
  <c r="R59" i="1" s="1"/>
  <c r="P60" i="14" l="1"/>
  <c r="P62" i="14" s="1"/>
  <c r="E13" i="23"/>
  <c r="E15" i="20"/>
  <c r="E16" i="20" s="1"/>
  <c r="AE15" i="20"/>
  <c r="AE16" i="20" s="1"/>
  <c r="AE18" i="20" s="1"/>
  <c r="AE19" i="20" s="1"/>
  <c r="AE21" i="20" s="1"/>
  <c r="AF16" i="20"/>
  <c r="AF18" i="20" s="1"/>
  <c r="AF19" i="20" s="1"/>
  <c r="AF21" i="20" s="1"/>
  <c r="AI15" i="20"/>
  <c r="AJ16" i="20"/>
  <c r="AJ18" i="20" s="1"/>
  <c r="AJ19" i="20" s="1"/>
  <c r="AJ21" i="20" s="1"/>
  <c r="O28" i="14"/>
  <c r="O50" i="14" s="1"/>
  <c r="O57" i="14" s="1"/>
  <c r="R29" i="14"/>
  <c r="R28" i="14" s="1"/>
  <c r="R45" i="14" s="1"/>
  <c r="AM15" i="20"/>
  <c r="N50" i="14"/>
  <c r="N57" i="14" s="1"/>
  <c r="S45" i="1"/>
  <c r="S51" i="1" s="1"/>
  <c r="S59" i="1" s="1"/>
  <c r="H11" i="17"/>
  <c r="R50" i="14" l="1"/>
  <c r="R57" i="14" s="1"/>
  <c r="R60" i="14"/>
  <c r="R62" i="14" s="1"/>
  <c r="D13" i="23"/>
  <c r="C13" i="23" s="1"/>
  <c r="C15" i="20" s="1"/>
  <c r="C16" i="20" s="1"/>
  <c r="P50" i="14"/>
  <c r="P57" i="14"/>
  <c r="AL15" i="20"/>
  <c r="AM16" i="20"/>
  <c r="AM18" i="20" s="1"/>
  <c r="AM19" i="20" s="1"/>
  <c r="AM21" i="20" s="1"/>
  <c r="AP15" i="20"/>
  <c r="AH15" i="20"/>
  <c r="AH16" i="20" s="1"/>
  <c r="AH18" i="20" s="1"/>
  <c r="AH19" i="20" s="1"/>
  <c r="AH21" i="20" s="1"/>
  <c r="AI16" i="20"/>
  <c r="AI18" i="20" s="1"/>
  <c r="AI19" i="20" s="1"/>
  <c r="AI21" i="20" s="1"/>
  <c r="J11" i="17"/>
  <c r="AR11" i="17" s="1"/>
  <c r="D15" i="20" l="1"/>
  <c r="D16" i="20" s="1"/>
  <c r="D14" i="23"/>
  <c r="D16" i="23" s="1"/>
  <c r="AQ15" i="20"/>
  <c r="AO15" i="20"/>
  <c r="AP16" i="20"/>
  <c r="AK15" i="20"/>
  <c r="AK16" i="20" s="1"/>
  <c r="AK18" i="20" s="1"/>
  <c r="AK19" i="20" s="1"/>
  <c r="AK21" i="20" s="1"/>
  <c r="AL16" i="20"/>
  <c r="AL18" i="20" s="1"/>
  <c r="AL19" i="20" s="1"/>
  <c r="AL21" i="20" s="1"/>
  <c r="S42" i="18"/>
  <c r="S48" i="18" s="1"/>
  <c r="S55" i="18" s="1"/>
  <c r="C5" i="20"/>
  <c r="E5" i="20" s="1"/>
  <c r="B4" i="17"/>
  <c r="C4" i="23" s="1"/>
  <c r="D5" i="17"/>
  <c r="B11" i="17"/>
  <c r="E18" i="20" l="1"/>
  <c r="F4" i="23"/>
  <c r="C9" i="23"/>
  <c r="E4" i="23"/>
  <c r="E9" i="23" s="1"/>
  <c r="AN15" i="20"/>
  <c r="AN16" i="20" s="1"/>
  <c r="AN18" i="20" s="1"/>
  <c r="AN19" i="20" s="1"/>
  <c r="AN21" i="20" s="1"/>
  <c r="AO16" i="20"/>
  <c r="AO18" i="20" s="1"/>
  <c r="AO19" i="20" s="1"/>
  <c r="AO21" i="20" s="1"/>
  <c r="AP18" i="20"/>
  <c r="AQ16" i="20"/>
  <c r="C18" i="20"/>
  <c r="D18" i="20"/>
  <c r="C4" i="20"/>
  <c r="E5" i="17"/>
  <c r="F5" i="17" s="1"/>
  <c r="D4" i="17"/>
  <c r="D11" i="17"/>
  <c r="E4" i="20" l="1"/>
  <c r="C11" i="20"/>
  <c r="E11" i="20" s="1"/>
  <c r="E19" i="20" s="1"/>
  <c r="V4" i="23"/>
  <c r="V9" i="23" s="1"/>
  <c r="F9" i="23"/>
  <c r="C19" i="20"/>
  <c r="C21" i="20" s="1"/>
  <c r="D19" i="20"/>
  <c r="D21" i="20" s="1"/>
  <c r="AP19" i="20"/>
  <c r="AP21" i="20" s="1"/>
  <c r="AQ18" i="20"/>
  <c r="AQ19" i="20" s="1"/>
  <c r="AQ21" i="20" s="1"/>
  <c r="E4" i="17"/>
  <c r="E11" i="17"/>
  <c r="F11" i="17" s="1"/>
  <c r="W16" i="23"/>
  <c r="E21" i="20" l="1"/>
  <c r="F4" i="17"/>
  <c r="U4" i="23"/>
  <c r="W17" i="23"/>
  <c r="U9" i="23" l="1"/>
  <c r="X9" i="23" s="1"/>
  <c r="X4" i="23"/>
  <c r="D17" i="23"/>
  <c r="G16" i="23" l="1"/>
  <c r="G17" i="23" l="1"/>
  <c r="F12" i="23"/>
  <c r="F14" i="23" s="1"/>
  <c r="C14" i="23"/>
  <c r="C16" i="23" s="1"/>
  <c r="V12" i="23" l="1"/>
  <c r="X12" i="23" s="1"/>
  <c r="X14" i="23" s="1"/>
  <c r="C17" i="23"/>
  <c r="E16" i="23"/>
  <c r="E17" i="23" s="1"/>
  <c r="E14" i="23"/>
  <c r="V14" i="23"/>
  <c r="V16" i="23" s="1"/>
  <c r="F16" i="23" l="1"/>
  <c r="X16" i="23"/>
  <c r="V17" i="23"/>
  <c r="X17" i="23" s="1"/>
  <c r="U16" i="23" l="1"/>
  <c r="F17" i="23"/>
  <c r="U17" i="23" s="1"/>
</calcChain>
</file>

<file path=xl/sharedStrings.xml><?xml version="1.0" encoding="utf-8"?>
<sst xmlns="http://schemas.openxmlformats.org/spreadsheetml/2006/main" count="1050" uniqueCount="402">
  <si>
    <t>Havonta ténylegesen felmerült költségek - 2015</t>
  </si>
  <si>
    <t>#</t>
  </si>
  <si>
    <t>Megnevezés</t>
  </si>
  <si>
    <t>egységár</t>
  </si>
  <si>
    <t>mennyiség</t>
  </si>
  <si>
    <t>havi nettó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</si>
  <si>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</si>
  <si>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</si>
  <si>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</si>
  <si>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</si>
  <si>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</si>
  <si>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</si>
  <si>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</si>
  <si>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</si>
  <si>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</si>
  <si>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</si>
  <si>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</si>
  <si>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</si>
  <si>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éves nettó</t>
  </si>
  <si>
    <t>áfa</t>
  </si>
  <si>
    <t>éves bruttó</t>
  </si>
  <si>
    <t>Személyi feltételek</t>
  </si>
  <si>
    <t>1.1</t>
  </si>
  <si>
    <t>Bérköltség</t>
  </si>
  <si>
    <t>1.2</t>
  </si>
  <si>
    <t>1.3</t>
  </si>
  <si>
    <t>Járulékok, adók, egyéb bérköltség</t>
  </si>
  <si>
    <t>1.4</t>
  </si>
  <si>
    <t>Foglalkozásegészségügy</t>
  </si>
  <si>
    <t>1.5</t>
  </si>
  <si>
    <t xml:space="preserve">Pszichológiai vizsgálatok </t>
  </si>
  <si>
    <t>1.6</t>
  </si>
  <si>
    <t>Biztosítás (dolgozói )</t>
  </si>
  <si>
    <t>1.7</t>
  </si>
  <si>
    <t>Védőital, alkoholszonda</t>
  </si>
  <si>
    <t>1.8</t>
  </si>
  <si>
    <t>Munkaeszközök, munkaruhák</t>
  </si>
  <si>
    <t>2.1</t>
  </si>
  <si>
    <t>2.3</t>
  </si>
  <si>
    <t>Gépjármű bérlés</t>
  </si>
  <si>
    <t>2.4</t>
  </si>
  <si>
    <t>2.5</t>
  </si>
  <si>
    <t>Mobilfizetés költsége</t>
  </si>
  <si>
    <t>2.6</t>
  </si>
  <si>
    <t>Bírságcsekk, parkolótárcsa</t>
  </si>
  <si>
    <t>2.7</t>
  </si>
  <si>
    <t>Parkolóőrök ellenőrzése</t>
  </si>
  <si>
    <t>2.8</t>
  </si>
  <si>
    <t>Biztosítás</t>
  </si>
  <si>
    <t>2.9</t>
  </si>
  <si>
    <t>Kártya</t>
  </si>
  <si>
    <t>Irodai üzemeltetés, cégfenntartás</t>
  </si>
  <si>
    <t>3.1</t>
  </si>
  <si>
    <t>Irodabérlet</t>
  </si>
  <si>
    <t>3.2</t>
  </si>
  <si>
    <t>Közüzemi díjak</t>
  </si>
  <si>
    <t>3.3</t>
  </si>
  <si>
    <t>Irodai költségek</t>
  </si>
  <si>
    <t>3.4</t>
  </si>
  <si>
    <t>Szoftverlicenc díjak</t>
  </si>
  <si>
    <t>3.5</t>
  </si>
  <si>
    <t>Postaköltség</t>
  </si>
  <si>
    <t>3.6</t>
  </si>
  <si>
    <t>Csekk</t>
  </si>
  <si>
    <t>3.7</t>
  </si>
  <si>
    <t>3.8</t>
  </si>
  <si>
    <t>Telefonköltség</t>
  </si>
  <si>
    <t>3.9</t>
  </si>
  <si>
    <t>Egyéb ktg</t>
  </si>
  <si>
    <t>3.10</t>
  </si>
  <si>
    <t>Őrzés, védés</t>
  </si>
  <si>
    <t>3.11</t>
  </si>
  <si>
    <t>Pénzügyi szolgáltatások kiadásai (bankköltségek)</t>
  </si>
  <si>
    <t>3.12</t>
  </si>
  <si>
    <t>Könyvelés, egyéb számviteli szolg.</t>
  </si>
  <si>
    <t>3.13</t>
  </si>
  <si>
    <t>Ügyvédi és végrehajtasi költségek es illetékek, kamarai tagdíj</t>
  </si>
  <si>
    <t>Beruházás amortizációja</t>
  </si>
  <si>
    <t>4.1</t>
  </si>
  <si>
    <t>terv szerinti Écs</t>
  </si>
  <si>
    <t>4.2</t>
  </si>
  <si>
    <t>terven felüli Écs</t>
  </si>
  <si>
    <t>Mindösszesen működési költségek</t>
  </si>
  <si>
    <t>5.1</t>
  </si>
  <si>
    <t>Marketing és egyéb tevékenység</t>
  </si>
  <si>
    <t>Képzések</t>
  </si>
  <si>
    <t>5.3</t>
  </si>
  <si>
    <t>Parkolóőrökkel kapcs</t>
  </si>
  <si>
    <t>5.4</t>
  </si>
  <si>
    <t>Összesen felmerült ráfordítás</t>
  </si>
  <si>
    <t>Járulékok</t>
  </si>
  <si>
    <t>Internet, telefon előfizetés</t>
  </si>
  <si>
    <t>Irodai egyéb költségek</t>
  </si>
  <si>
    <t>Nyomtatvány, kellékanyagok,nyomtatas, irodaszer</t>
  </si>
  <si>
    <t>Egyéb ktg.</t>
  </si>
  <si>
    <t>Pénzügyi szolgáltatások kiadásai (bankköltségek, Posta bankjell.ktge)</t>
  </si>
  <si>
    <t>3.14</t>
  </si>
  <si>
    <t>3.15</t>
  </si>
  <si>
    <t>Személyi feltételek üzemeltetéshez</t>
  </si>
  <si>
    <t>Összesen üzemeltetés</t>
  </si>
  <si>
    <t>KTGterv 2016</t>
  </si>
  <si>
    <t>Parkolási rendszer létrehozása, egyszer felmerülő kiadások</t>
  </si>
  <si>
    <t>Parkolóautomaták üzemeltetése, parkolási rendszer üzemeltetése</t>
  </si>
  <si>
    <t xml:space="preserve">Nyomtatvány, kellékanyagok,nyomtatas </t>
  </si>
  <si>
    <t>51181,51183,51184,52201,52208</t>
  </si>
  <si>
    <t>3.16</t>
  </si>
  <si>
    <t>Panaszkezelés, pótdíjazás</t>
  </si>
  <si>
    <t>524,5287,5299</t>
  </si>
  <si>
    <t>Ideiglenes ügyfélszolgálat</t>
  </si>
  <si>
    <t>5412,5515,5530</t>
  </si>
  <si>
    <t>Bér/önálló tev. Jövedelme/utazas ktgtérítés/SZÉP</t>
  </si>
  <si>
    <t>5442,5524,5544,5553</t>
  </si>
  <si>
    <t>5542,562,564,566</t>
  </si>
  <si>
    <t xml:space="preserve">Parkolóautomaták beszerzése és üzembehelyezése </t>
  </si>
  <si>
    <t>Kezelési díj éves összege</t>
  </si>
  <si>
    <t>ÖSSZ</t>
  </si>
  <si>
    <t>1 hónap</t>
  </si>
  <si>
    <t>szemétsz.</t>
  </si>
  <si>
    <t>gáz</t>
  </si>
  <si>
    <t>áram</t>
  </si>
  <si>
    <t>Ftszv-szippantás</t>
  </si>
  <si>
    <t>csatorna</t>
  </si>
  <si>
    <t>víz</t>
  </si>
  <si>
    <t>felosztandó
díj</t>
  </si>
  <si>
    <t>Fogy időszak</t>
  </si>
  <si>
    <t>költségnem</t>
  </si>
  <si>
    <t>arányszám</t>
  </si>
  <si>
    <t>létszám</t>
  </si>
  <si>
    <t>Számlá-zandó
össz</t>
  </si>
  <si>
    <t>sum</t>
  </si>
  <si>
    <t>ÓKF</t>
  </si>
  <si>
    <t>ÓKN Kft.</t>
  </si>
  <si>
    <t>ÓPArk. Kft.</t>
  </si>
  <si>
    <t>ÓVZrt.</t>
  </si>
  <si>
    <t>A Mozaik u. 7. közüzemi díj és kezelési díj terv</t>
  </si>
  <si>
    <t>Parkolási zónák összesítő táblázata</t>
  </si>
  <si>
    <t>Zóna száma - területegység</t>
  </si>
  <si>
    <t>terület 
nagysága
[km2]</t>
  </si>
  <si>
    <t>övezeti besorolás</t>
  </si>
  <si>
    <t>parkolóhelyek száma</t>
  </si>
  <si>
    <t>parkoló-óra szám</t>
  </si>
  <si>
    <t>kerületi</t>
  </si>
  <si>
    <t>fővárosi</t>
  </si>
  <si>
    <t>összesen</t>
  </si>
  <si>
    <t>I.</t>
  </si>
  <si>
    <t>1+2+3</t>
  </si>
  <si>
    <t>II.</t>
  </si>
  <si>
    <t>4+5+6A+8A</t>
  </si>
  <si>
    <t>III.</t>
  </si>
  <si>
    <t>7+8B</t>
  </si>
  <si>
    <t>IV.</t>
  </si>
  <si>
    <t>6B+9+12</t>
  </si>
  <si>
    <t>V.</t>
  </si>
  <si>
    <t>10+11A+13A</t>
  </si>
  <si>
    <t>VI.</t>
  </si>
  <si>
    <t>11B</t>
  </si>
  <si>
    <t>VII.</t>
  </si>
  <si>
    <t>13B+14+15</t>
  </si>
  <si>
    <t>Eredeti terület</t>
  </si>
  <si>
    <t>-</t>
  </si>
  <si>
    <t>kerületi terület</t>
  </si>
  <si>
    <t>fővárosi terület</t>
  </si>
  <si>
    <t xml:space="preserve">Közvetlen üzemeltetési költségek </t>
  </si>
  <si>
    <t>3.17</t>
  </si>
  <si>
    <t>bruttó</t>
  </si>
  <si>
    <t>nettó</t>
  </si>
  <si>
    <t>Terület</t>
  </si>
  <si>
    <t>Várható bevétel összesen</t>
  </si>
  <si>
    <t>Peres eljárásból befolyt összeg</t>
  </si>
  <si>
    <t>90 napon belül befolyt összeg</t>
  </si>
  <si>
    <t>15 napon belül befolyt összeg</t>
  </si>
  <si>
    <t>( 4.000 db / hó nagyságrendet alapul véve )</t>
  </si>
  <si>
    <t>Pótdíjazásból várható bevétel</t>
  </si>
  <si>
    <t>fővárosi terület (5/nap)</t>
  </si>
  <si>
    <t>kerületi terület (25/nap)</t>
  </si>
  <si>
    <r>
      <t xml:space="preserve"> (30 db x 249 nap x</t>
    </r>
    <r>
      <rPr>
        <sz val="10"/>
        <color indexed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11.500</t>
    </r>
    <r>
      <rPr>
        <sz val="10"/>
        <color indexed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Ft )</t>
    </r>
  </si>
  <si>
    <t xml:space="preserve">Kerékbilincselésből várható bevétel </t>
  </si>
  <si>
    <t>30 000 db, nettó 2 000 Ft / év</t>
  </si>
  <si>
    <t>Parkolási engedélyek (regisztrációs díj)</t>
  </si>
  <si>
    <t>5. díj övezet</t>
  </si>
  <si>
    <t>4. díj övezet</t>
  </si>
  <si>
    <r>
      <t xml:space="preserve">15 %-os kihasználtság  mellett, 55%-os fizetési </t>
    </r>
    <r>
      <rPr>
        <sz val="10"/>
        <color indexed="8"/>
        <rFont val="Arial"/>
        <family val="2"/>
        <charset val="238"/>
      </rPr>
      <t>hajlandóság esetén</t>
    </r>
  </si>
  <si>
    <t>Nettó parkolási díjbevétel</t>
  </si>
  <si>
    <t>Parkolóhelyek száma</t>
  </si>
  <si>
    <r>
      <t xml:space="preserve">Üzemórák </t>
    </r>
    <r>
      <rPr>
        <sz val="10"/>
        <color indexed="8"/>
        <rFont val="Arial"/>
        <family val="2"/>
        <charset val="238"/>
      </rPr>
      <t>(8:00-18-ig, 250 nap x 10 óra)</t>
    </r>
  </si>
  <si>
    <t>fizetési hajlandóság:</t>
  </si>
  <si>
    <t>Parkolási díj bruttó Ft /óra</t>
  </si>
  <si>
    <t>kihasználtság:</t>
  </si>
  <si>
    <t>Alapadatok</t>
  </si>
  <si>
    <t>Várható bevétel</t>
  </si>
  <si>
    <t>Érmés bevétel</t>
  </si>
  <si>
    <t>Pótdíj bevétel</t>
  </si>
  <si>
    <t>Behajtási bevétel</t>
  </si>
  <si>
    <t>Kerékbilincs bevétel</t>
  </si>
  <si>
    <t>Kerületi</t>
  </si>
  <si>
    <t>Fővárosi</t>
  </si>
  <si>
    <t>Összesen</t>
  </si>
  <si>
    <t>Parkolási tevékenység árbevétele</t>
  </si>
  <si>
    <t>1.9</t>
  </si>
  <si>
    <t>5115, 513</t>
  </si>
  <si>
    <t>Közvetlen üzemeltetési költségek</t>
  </si>
  <si>
    <t>Üzemanyag, egyéb gépjármű költség</t>
  </si>
  <si>
    <t>SIM kártyák előfizetési díja</t>
  </si>
  <si>
    <t>2.10</t>
  </si>
  <si>
    <t>Takarítás</t>
  </si>
  <si>
    <t>3.18</t>
  </si>
  <si>
    <t>Parkolási engedélyek</t>
  </si>
  <si>
    <t>AppTel (szerződés)</t>
  </si>
  <si>
    <t>Pótdíj back office ügyfélszolgálat</t>
  </si>
  <si>
    <t>Ecovis (szerződés)</t>
  </si>
  <si>
    <t>Jog</t>
  </si>
  <si>
    <t>(szerződés)</t>
  </si>
  <si>
    <t>Munkaügy, bérszámfejtés</t>
  </si>
  <si>
    <t>Varjú Gábor (szerződés)</t>
  </si>
  <si>
    <t>Informatika</t>
  </si>
  <si>
    <t>Támogató területek</t>
  </si>
  <si>
    <t>Parkolási ellenőr</t>
  </si>
  <si>
    <t>Matics Imre, Matics Dániel</t>
  </si>
  <si>
    <t>Szolgálatvezető</t>
  </si>
  <si>
    <t>Parkolás üzemeltetési vezető</t>
  </si>
  <si>
    <t>Parkolás üzemeltetés</t>
  </si>
  <si>
    <t>Asszisztens</t>
  </si>
  <si>
    <t>Kovács Erzsébet</t>
  </si>
  <si>
    <t>Pénztáros</t>
  </si>
  <si>
    <t>Iktató, kézbesítő</t>
  </si>
  <si>
    <t>Nagy Georgina</t>
  </si>
  <si>
    <t>Pénzügyi asszisztens</t>
  </si>
  <si>
    <t>Zobné Marton Mónika</t>
  </si>
  <si>
    <t>Könyvelő</t>
  </si>
  <si>
    <t>Pénzügyi-gazdasági vezető</t>
  </si>
  <si>
    <t>Informatikus</t>
  </si>
  <si>
    <t>Gazdaság-pénzügy</t>
  </si>
  <si>
    <t>Tarkó Mária</t>
  </si>
  <si>
    <t>Követeléskezelés munkatárs</t>
  </si>
  <si>
    <t>Követelés kezelő munkatárs</t>
  </si>
  <si>
    <t>Követeléskezelés csoportvezető</t>
  </si>
  <si>
    <t>Ellenőr</t>
  </si>
  <si>
    <t>Követeléskezelés</t>
  </si>
  <si>
    <t>Ellenőrzési csoportvezető</t>
  </si>
  <si>
    <t>Serflek Zsófia, Huszer Sándor</t>
  </si>
  <si>
    <t>Ügyfélszolgálati munkatárs (call center)</t>
  </si>
  <si>
    <t>Szabó Brigitta, Vajda Nikolett, Horváth Veronika</t>
  </si>
  <si>
    <t>Ügyfélszolgálati munkatárs (front office)</t>
  </si>
  <si>
    <t>Irodavezető</t>
  </si>
  <si>
    <t>Király Judit</t>
  </si>
  <si>
    <t>Ügyfélszolgálati munkatárs, ügyfélszolgálati 
vezető helyettes</t>
  </si>
  <si>
    <t>Csanádi Brigitta</t>
  </si>
  <si>
    <t>Ügyfélszolgálati vezető</t>
  </si>
  <si>
    <t>Ügyfélszolgálat</t>
  </si>
  <si>
    <t>Call center munkatárs</t>
  </si>
  <si>
    <t>Csongárné Galambos Ildikó</t>
  </si>
  <si>
    <t>Tarr Edina</t>
  </si>
  <si>
    <t>Ügyvezető</t>
  </si>
  <si>
    <t>Cégvezető</t>
  </si>
  <si>
    <t>Bér</t>
  </si>
  <si>
    <t>Létszám</t>
  </si>
  <si>
    <t>Óbudai Parkolási Kft.</t>
  </si>
  <si>
    <t>Ügyfélszolgálati munkatárs</t>
  </si>
  <si>
    <t>Cafeteria</t>
  </si>
  <si>
    <t>Nettó bér</t>
  </si>
  <si>
    <t>Éves teljes bér</t>
  </si>
  <si>
    <t>teljes bérktg</t>
  </si>
  <si>
    <t>cafeteria</t>
  </si>
  <si>
    <t>járulék</t>
  </si>
  <si>
    <t>alapbér</t>
  </si>
  <si>
    <t>ÓP Kft.</t>
  </si>
  <si>
    <t>1 főre jutó 1havi</t>
  </si>
  <si>
    <t>Tervezett bérköltség 2016</t>
  </si>
  <si>
    <t>duplabér</t>
  </si>
  <si>
    <t>Őrök nyomtató papírja</t>
  </si>
  <si>
    <t>Utazási támogatás</t>
  </si>
  <si>
    <t>Marketingköltségek (nyomtatványok, tájékoztatók, kérelmek, stb.)</t>
  </si>
  <si>
    <t>Egyszeri költségek</t>
  </si>
  <si>
    <t>parkolóörök bérlete, havi azonos költség</t>
  </si>
  <si>
    <t>évente 3szor új munkavállalókkal kapcsolatban felmerülő</t>
  </si>
  <si>
    <t>évente egyszerfelmerülő éves díj</t>
  </si>
  <si>
    <t>hány hónap</t>
  </si>
  <si>
    <t>minden hónapban az időjárásnak megfelelő védőital költsége</t>
  </si>
  <si>
    <t>évente 3-szor új ruhák és a selejtezett cserélése</t>
  </si>
  <si>
    <t>havi díj a PDA SIM kártyája</t>
  </si>
  <si>
    <t>havi díj 1 db gépjármű bérlése</t>
  </si>
  <si>
    <t>havi költség benzin, mosás, egyéb ktg. 2 gépjárműre</t>
  </si>
  <si>
    <t>Parkolótárcsa</t>
  </si>
  <si>
    <t xml:space="preserve">havi 5000 darab pótdíj csekk és zacskó </t>
  </si>
  <si>
    <t>évente egyszer tárcsa kiadása</t>
  </si>
  <si>
    <t>havi díj minden parkolóautomata után(szerződés szerint)</t>
  </si>
  <si>
    <t>Bírságcsekk</t>
  </si>
  <si>
    <t>havi díj szerződés szerint</t>
  </si>
  <si>
    <t>nyomtató papír, havi 2 tekercs fogyással</t>
  </si>
  <si>
    <t>szerződés szerint 1 évre megállapítva, havi fizetéssel</t>
  </si>
  <si>
    <t>Vonalas telefon előfizetés</t>
  </si>
  <si>
    <t>Mobil telefon</t>
  </si>
  <si>
    <t xml:space="preserve">havi díj, 8 darab mobil </t>
  </si>
  <si>
    <t>Egyéb felmerülő költségek, kis összegű eszköz beszerzések</t>
  </si>
  <si>
    <t>Nyomtatás, irodaszer, egyéb</t>
  </si>
  <si>
    <t>Levelek, fizetési felszólítások</t>
  </si>
  <si>
    <t>Irodai víz, futár, stb</t>
  </si>
  <si>
    <t>Havi díj szerződés szerint,telephely örzése</t>
  </si>
  <si>
    <t>Havonta változó,szóróanyagok, tájékoztatók tervezése, nyomtatása, weboldal</t>
  </si>
  <si>
    <t>Bank és posta csekkekhez kapcsolódó bank jellegű ktge</t>
  </si>
  <si>
    <t>Bérszámfejtés alkalmazottak után</t>
  </si>
  <si>
    <t>Könyvvizsgálat</t>
  </si>
  <si>
    <t>Évi egyszeri költsége mérlegkészítéskor</t>
  </si>
  <si>
    <t>Szerződés éves díja 11 hónapra,elosztva</t>
  </si>
  <si>
    <t>Ügyvédi és pótdíjazási ügyek</t>
  </si>
  <si>
    <t>2 szerződés havi díj (1.200e és 450e)</t>
  </si>
  <si>
    <t xml:space="preserve">Közbeszerzési díj </t>
  </si>
  <si>
    <t>Évente 7 hónapban, ügyfélszolgálat, eszközök, örzés, diákmunkaerő</t>
  </si>
  <si>
    <t>Új parkolóövezet kialakítása Kaszásdűlőn</t>
  </si>
  <si>
    <t>Évente 6 közbeszerzés</t>
  </si>
  <si>
    <t>Kerület</t>
  </si>
  <si>
    <t>Mobil parkolás</t>
  </si>
  <si>
    <t>Díjbevétel</t>
  </si>
  <si>
    <t>Halmozott díjbevétel</t>
  </si>
  <si>
    <t>Pótdíj bankszlára</t>
  </si>
  <si>
    <t>Pótdíj pénztárba</t>
  </si>
  <si>
    <t>Pótdíjbevétel</t>
  </si>
  <si>
    <t>Halmozott pótdíj bevétel</t>
  </si>
  <si>
    <t>07.hó</t>
  </si>
  <si>
    <t>08.hó</t>
  </si>
  <si>
    <t>09.hó</t>
  </si>
  <si>
    <t>10.hó</t>
  </si>
  <si>
    <t>11.hó</t>
  </si>
  <si>
    <t>Készpénz befiz. bankszámlára</t>
  </si>
  <si>
    <t>2015.11.hó</t>
  </si>
  <si>
    <t>parkolójegy árának visszafiz.</t>
  </si>
  <si>
    <t>Egyenleg</t>
  </si>
  <si>
    <t>Főváros</t>
  </si>
  <si>
    <t>Összesen (Ker+ FV):</t>
  </si>
  <si>
    <t>07. hó</t>
  </si>
  <si>
    <t>09. hó</t>
  </si>
  <si>
    <t>Pótdíjvevételek</t>
  </si>
  <si>
    <t>Mindösszesen</t>
  </si>
  <si>
    <t>Bevételek részletezése 2015</t>
  </si>
  <si>
    <t>12. hó</t>
  </si>
  <si>
    <t>Havi átlag</t>
  </si>
  <si>
    <t>Bevétel 2015 Összefoglalva</t>
  </si>
  <si>
    <t>Díjbevétel ebből:</t>
  </si>
  <si>
    <t xml:space="preserve">            mobilparkolás bevétel</t>
  </si>
  <si>
    <t xml:space="preserve"> érmés bevétel</t>
  </si>
  <si>
    <t>2016 bevétel prognózis alapján</t>
  </si>
  <si>
    <t>Összehasonlításként a 2015-ös bevételi prognózisok üzleti tervből:</t>
  </si>
  <si>
    <t>2.2</t>
  </si>
  <si>
    <t xml:space="preserve">Mobilfizetés </t>
  </si>
  <si>
    <t>Mobilfizetés</t>
  </si>
  <si>
    <t>10 százaléka a mobillal történő fizetésnek</t>
  </si>
  <si>
    <t>Parkolóautomaták havi beszerzési ktge</t>
  </si>
  <si>
    <t>Parkolóautomaták havi beszerzésiktge</t>
  </si>
  <si>
    <t>2016 bevétel terve</t>
  </si>
  <si>
    <t>Mindösszesen ráfordítás</t>
  </si>
  <si>
    <t>Egyszeri költség</t>
  </si>
  <si>
    <t>1+2+3+4</t>
  </si>
  <si>
    <t>1+2+3+4+5</t>
  </si>
  <si>
    <t>Bevételek</t>
  </si>
  <si>
    <t>Ráfordítások</t>
  </si>
  <si>
    <t>Üzemeltetési költségek</t>
  </si>
  <si>
    <t>Üzemi eredmény</t>
  </si>
  <si>
    <t>Mindösszesen ktgek</t>
  </si>
  <si>
    <t>főkönyvi szlaszámok</t>
  </si>
  <si>
    <t>Ktg arány</t>
  </si>
  <si>
    <t>Amortizáció</t>
  </si>
  <si>
    <t>2016 bevételek és ráfordítások</t>
  </si>
  <si>
    <t>Eredmény</t>
  </si>
  <si>
    <t>Bevétel-ktgek</t>
  </si>
  <si>
    <t>főkönyvi szlaszám</t>
  </si>
  <si>
    <t>Nettó</t>
  </si>
  <si>
    <t>ÁFA</t>
  </si>
  <si>
    <t>Nettó összesen</t>
  </si>
  <si>
    <t>ÁFA EGYENLEG</t>
  </si>
  <si>
    <t>Nettó árbevétel</t>
  </si>
  <si>
    <t>Bruttó</t>
  </si>
  <si>
    <t>Áfa</t>
  </si>
  <si>
    <t>Bruttó összesen</t>
  </si>
  <si>
    <t>Díjbevételek</t>
  </si>
  <si>
    <t>Fizetendő áfa-visszaigényelhető áfa</t>
  </si>
  <si>
    <t>SIM kártyák előfizetési díja (221 darab)</t>
  </si>
  <si>
    <t>5.2</t>
  </si>
  <si>
    <t>Meglévő automaták áthelyezése</t>
  </si>
  <si>
    <t>Információs táblák kihelyezése</t>
  </si>
  <si>
    <t>Határozott időtartamú</t>
  </si>
  <si>
    <t xml:space="preserve">Diákmunka </t>
  </si>
  <si>
    <t>Diákmunka ideigleneshez</t>
  </si>
  <si>
    <t>Évente 7 hónapban, belső munkára</t>
  </si>
  <si>
    <t xml:space="preserve">havi díj, 25 darab vonalas </t>
  </si>
  <si>
    <t>Kerületi nettó</t>
  </si>
  <si>
    <t>Fővárosi nettó</t>
  </si>
  <si>
    <t>Kerületi ÁFA</t>
  </si>
  <si>
    <t>Fővárosi ÁFA</t>
  </si>
  <si>
    <t>ÁFA összesen</t>
  </si>
  <si>
    <t>Kerületi bruttó</t>
  </si>
  <si>
    <t>Óbuda kártya, (üfsz, sales,call center)</t>
  </si>
  <si>
    <t>Óbuda kártya, üzemeltetés, IT</t>
  </si>
  <si>
    <t>3.19</t>
  </si>
  <si>
    <t>Pavlokin Judit</t>
  </si>
  <si>
    <t>Nettó Összesen</t>
  </si>
  <si>
    <t>Kerületi bruttó Ráf</t>
  </si>
  <si>
    <t>Kerületi bruttó Bev</t>
  </si>
  <si>
    <t>Fővárosi Bruttó Bev</t>
  </si>
  <si>
    <t>Fővárosi bruttó Ráfordítás</t>
  </si>
  <si>
    <t>Bruttó Bev.összesen</t>
  </si>
  <si>
    <t>Bruttó Ráf összesen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</si>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</sst>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* #,##0.00\ &quot;Ft&quot;_-;\-* #,##0.00\ &quot;Ft&quot;_-;_-* &quot;-&quot;??\ &quot;Ft&quot;_-;_-@_-"/>
    <numFmt numFmtId="43" formatCode="_-* #,##0.00\ _F_t_-;\-* #,##0.00\ _F_t_-;_-* &quot;-&quot;??\ _F_t_-;_-@_-"/>
    <numFmt numFmtId="164" formatCode="_-* #,##0.00\ _H_U_F_-;\-* #,##0.00\ _H_U_F_-;_-* &quot;-&quot;??\ _H_U_F_-;_-@_-"/>
    <numFmt numFmtId="165" formatCode="#,##0_ ;[Red]\-#,##0\ "/>
    <numFmt numFmtId="166" formatCode="#,##0.0_ ;[Red]\-#,##0.0\ "/>
    <numFmt numFmtId="167" formatCode="[$-40E]yyyy/\ mmmm;@"/>
    <numFmt numFmtId="168" formatCode="_-* #,##0\ _F_t_-;\-* #,##0\ _F_t_-;_-* &quot;-&quot;??\ _F_t_-;_-@_-"/>
    <numFmt numFmtId="169" formatCode="_-* #,##0\ &quot;Ft&quot;_-;\-* #,##0\ &quot;Ft&quot;_-;_-* &quot;-&quot;??\ &quot;Ft&quot;_-;_-@_-"/>
    <numFmt numFmtId="170" formatCode="_-* #,##0.00000\ _F_t_-;\-* #,##0.00000\ _F_t_-;_-* &quot;-&quot;??\ _F_t_-;_-@_-"/>
  </numFmts>
  <fonts count="49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rgb="FF00B050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aial"/>
      <charset val="238"/>
    </font>
    <font>
      <b/>
      <i/>
      <sz val="10"/>
      <color theme="1"/>
      <name val="Araial"/>
      <charset val="238"/>
    </font>
    <font>
      <sz val="14"/>
      <color theme="1"/>
      <name val="Arial"/>
      <family val="2"/>
      <charset val="238"/>
    </font>
    <font>
      <sz val="10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i/>
      <sz val="12"/>
      <color indexed="8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i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0"/>
      <name val="Arial"/>
      <family val="2"/>
      <charset val="238"/>
    </font>
    <font>
      <sz val="11"/>
      <color rgb="FF3F3F76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3F3F76"/>
      <name val="Calibri"/>
      <family val="2"/>
      <charset val="238"/>
    </font>
    <font>
      <b/>
      <sz val="20"/>
      <color theme="1"/>
      <name val="Calibri"/>
      <family val="2"/>
      <charset val="238"/>
      <scheme val="minor"/>
    </font>
    <font>
      <b/>
      <u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9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00B0F0"/>
        <bgColor indexed="64"/>
      </patternFill>
    </fill>
    <fill>
      <patternFill patternType="solid">
        <fgColor rgb="FFFFCC99"/>
        <bgColor rgb="FFFFFFF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000000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</fills>
  <borders count="6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rgb="FF7F7F7F"/>
      </bottom>
      <diagonal/>
    </border>
    <border>
      <left style="medium">
        <color indexed="64"/>
      </left>
      <right style="medium">
        <color indexed="64"/>
      </right>
      <top style="thin">
        <color rgb="FF7F7F7F"/>
      </top>
      <bottom style="thin">
        <color rgb="FF7F7F7F"/>
      </bottom>
      <diagonal/>
    </border>
  </borders>
  <cellStyleXfs count="10">
    <xf numFmtId="0" fontId="0" fillId="0" borderId="0"/>
    <xf numFmtId="43" fontId="27" fillId="0" borderId="0" applyFont="0" applyFill="0" applyBorder="0" applyAlignment="0" applyProtection="0"/>
    <xf numFmtId="0" fontId="34" fillId="0" borderId="0"/>
    <xf numFmtId="9" fontId="8" fillId="0" borderId="0" applyFont="0" applyFill="0" applyBorder="0" applyAlignment="0" applyProtection="0"/>
    <xf numFmtId="43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0" fontId="38" fillId="10" borderId="54" applyNumberFormat="0" applyAlignment="0" applyProtection="0"/>
    <xf numFmtId="164" fontId="27" fillId="0" borderId="0" applyFont="0" applyFill="0" applyBorder="0" applyAlignment="0" applyProtection="0"/>
    <xf numFmtId="0" fontId="8" fillId="0" borderId="0"/>
    <xf numFmtId="164" fontId="27" fillId="0" borderId="0" applyFont="0" applyFill="0" applyBorder="0" applyAlignment="0" applyProtection="0"/>
  </cellStyleXfs>
  <cellXfs count="667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3" fontId="6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right"/>
    </xf>
    <xf numFmtId="0" fontId="7" fillId="0" borderId="2" xfId="0" applyFont="1" applyBorder="1"/>
    <xf numFmtId="3" fontId="5" fillId="0" borderId="2" xfId="0" applyNumberFormat="1" applyFont="1" applyBorder="1"/>
    <xf numFmtId="3" fontId="5" fillId="0" borderId="0" xfId="0" applyNumberFormat="1" applyFont="1" applyBorder="1"/>
    <xf numFmtId="0" fontId="1" fillId="0" borderId="0" xfId="0" applyFont="1" applyAlignment="1">
      <alignment horizontal="center"/>
    </xf>
    <xf numFmtId="0" fontId="5" fillId="3" borderId="3" xfId="0" applyFont="1" applyFill="1" applyBorder="1" applyAlignment="1"/>
    <xf numFmtId="0" fontId="5" fillId="3" borderId="4" xfId="0" applyFont="1" applyFill="1" applyBorder="1" applyAlignment="1"/>
    <xf numFmtId="3" fontId="5" fillId="3" borderId="4" xfId="0" applyNumberFormat="1" applyFont="1" applyFill="1" applyBorder="1"/>
    <xf numFmtId="3" fontId="5" fillId="3" borderId="3" xfId="0" applyNumberFormat="1" applyFont="1" applyFill="1" applyBorder="1"/>
    <xf numFmtId="3" fontId="5" fillId="3" borderId="5" xfId="0" applyNumberFormat="1" applyFont="1" applyFill="1" applyBorder="1"/>
    <xf numFmtId="0" fontId="0" fillId="0" borderId="6" xfId="0" applyFill="1" applyBorder="1"/>
    <xf numFmtId="0" fontId="0" fillId="0" borderId="0" xfId="0" applyFill="1"/>
    <xf numFmtId="0" fontId="0" fillId="0" borderId="0" xfId="0" quotePrefix="1" applyFill="1" applyBorder="1" applyAlignment="1">
      <alignment horizontal="center"/>
    </xf>
    <xf numFmtId="0" fontId="7" fillId="0" borderId="5" xfId="0" applyFont="1" applyBorder="1"/>
    <xf numFmtId="3" fontId="7" fillId="0" borderId="5" xfId="0" applyNumberFormat="1" applyFont="1" applyBorder="1"/>
    <xf numFmtId="3" fontId="7" fillId="0" borderId="5" xfId="0" applyNumberFormat="1" applyFont="1" applyFill="1" applyBorder="1"/>
    <xf numFmtId="3" fontId="7" fillId="4" borderId="5" xfId="0" applyNumberFormat="1" applyFont="1" applyFill="1" applyBorder="1"/>
    <xf numFmtId="3" fontId="8" fillId="0" borderId="5" xfId="0" applyNumberFormat="1" applyFont="1" applyFill="1" applyBorder="1"/>
    <xf numFmtId="0" fontId="9" fillId="0" borderId="0" xfId="0" applyFont="1"/>
    <xf numFmtId="0" fontId="5" fillId="0" borderId="0" xfId="0" applyFont="1" applyFill="1" applyBorder="1" applyAlignment="1"/>
    <xf numFmtId="3" fontId="7" fillId="0" borderId="0" xfId="0" applyNumberFormat="1" applyFont="1" applyFill="1" applyBorder="1"/>
    <xf numFmtId="0" fontId="6" fillId="3" borderId="3" xfId="0" applyFont="1" applyFill="1" applyBorder="1" applyAlignment="1"/>
    <xf numFmtId="0" fontId="6" fillId="3" borderId="4" xfId="0" applyFont="1" applyFill="1" applyBorder="1" applyAlignment="1"/>
    <xf numFmtId="3" fontId="5" fillId="3" borderId="7" xfId="0" applyNumberFormat="1" applyFont="1" applyFill="1" applyBorder="1"/>
    <xf numFmtId="0" fontId="0" fillId="0" borderId="0" xfId="0" quotePrefix="1" applyFont="1" applyAlignment="1">
      <alignment horizontal="center"/>
    </xf>
    <xf numFmtId="0" fontId="7" fillId="4" borderId="5" xfId="0" applyFont="1" applyFill="1" applyBorder="1"/>
    <xf numFmtId="0" fontId="7" fillId="0" borderId="8" xfId="0" applyFont="1" applyBorder="1"/>
    <xf numFmtId="3" fontId="7" fillId="0" borderId="8" xfId="0" applyNumberFormat="1" applyFont="1" applyBorder="1"/>
    <xf numFmtId="3" fontId="7" fillId="4" borderId="9" xfId="0" applyNumberFormat="1" applyFont="1" applyFill="1" applyBorder="1"/>
    <xf numFmtId="3" fontId="7" fillId="0" borderId="10" xfId="0" applyNumberFormat="1" applyFont="1" applyBorder="1"/>
    <xf numFmtId="3" fontId="7" fillId="0" borderId="2" xfId="0" applyNumberFormat="1" applyFont="1" applyBorder="1"/>
    <xf numFmtId="0" fontId="1" fillId="0" borderId="0" xfId="0" quotePrefix="1" applyFont="1" applyAlignment="1">
      <alignment horizontal="center"/>
    </xf>
    <xf numFmtId="0" fontId="6" fillId="3" borderId="5" xfId="0" applyFont="1" applyFill="1" applyBorder="1"/>
    <xf numFmtId="0" fontId="5" fillId="3" borderId="5" xfId="0" applyFont="1" applyFill="1" applyBorder="1"/>
    <xf numFmtId="0" fontId="1" fillId="0" borderId="0" xfId="0" applyFont="1"/>
    <xf numFmtId="0" fontId="3" fillId="0" borderId="0" xfId="0" quotePrefix="1" applyFont="1" applyAlignment="1">
      <alignment horizontal="center"/>
    </xf>
    <xf numFmtId="0" fontId="10" fillId="3" borderId="0" xfId="0" applyFont="1" applyFill="1" applyBorder="1"/>
    <xf numFmtId="3" fontId="10" fillId="3" borderId="0" xfId="0" applyNumberFormat="1" applyFont="1" applyFill="1" applyBorder="1"/>
    <xf numFmtId="3" fontId="10" fillId="3" borderId="5" xfId="0" applyNumberFormat="1" applyFont="1" applyFill="1" applyBorder="1"/>
    <xf numFmtId="0" fontId="3" fillId="0" borderId="0" xfId="0" applyFont="1"/>
    <xf numFmtId="0" fontId="0" fillId="0" borderId="0" xfId="0" quotePrefix="1" applyAlignment="1">
      <alignment horizontal="center"/>
    </xf>
    <xf numFmtId="0" fontId="7" fillId="0" borderId="0" xfId="0" applyFont="1" applyBorder="1"/>
    <xf numFmtId="3" fontId="7" fillId="0" borderId="0" xfId="0" applyNumberFormat="1" applyFont="1" applyBorder="1"/>
    <xf numFmtId="0" fontId="0" fillId="0" borderId="0" xfId="0" applyFont="1" applyAlignment="1">
      <alignment horizontal="center"/>
    </xf>
    <xf numFmtId="0" fontId="6" fillId="5" borderId="0" xfId="0" applyFont="1" applyFill="1" applyBorder="1" applyAlignment="1"/>
    <xf numFmtId="3" fontId="5" fillId="5" borderId="0" xfId="0" applyNumberFormat="1" applyFont="1" applyFill="1" applyBorder="1"/>
    <xf numFmtId="3" fontId="5" fillId="5" borderId="7" xfId="0" applyNumberFormat="1" applyFont="1" applyFill="1" applyBorder="1"/>
    <xf numFmtId="3" fontId="5" fillId="5" borderId="4" xfId="0" applyNumberFormat="1" applyFont="1" applyFill="1" applyBorder="1"/>
    <xf numFmtId="3" fontId="5" fillId="5" borderId="5" xfId="0" applyNumberFormat="1" applyFont="1" applyFill="1" applyBorder="1"/>
    <xf numFmtId="3" fontId="5" fillId="5" borderId="3" xfId="0" applyNumberFormat="1" applyFont="1" applyFill="1" applyBorder="1"/>
    <xf numFmtId="0" fontId="7" fillId="0" borderId="5" xfId="0" applyFont="1" applyBorder="1" applyAlignment="1">
      <alignment horizontal="right" wrapText="1"/>
    </xf>
    <xf numFmtId="0" fontId="11" fillId="0" borderId="0" xfId="0" applyFont="1"/>
    <xf numFmtId="0" fontId="6" fillId="0" borderId="0" xfId="0" applyFont="1"/>
    <xf numFmtId="3" fontId="6" fillId="3" borderId="5" xfId="0" applyNumberFormat="1" applyFont="1" applyFill="1" applyBorder="1"/>
    <xf numFmtId="0" fontId="6" fillId="3" borderId="0" xfId="0" applyFont="1" applyFill="1" applyBorder="1" applyAlignment="1"/>
    <xf numFmtId="0" fontId="12" fillId="0" borderId="0" xfId="0" applyFont="1"/>
    <xf numFmtId="3" fontId="12" fillId="0" borderId="0" xfId="0" applyNumberFormat="1" applyFont="1"/>
    <xf numFmtId="0" fontId="13" fillId="0" borderId="0" xfId="0" applyFont="1"/>
    <xf numFmtId="0" fontId="13" fillId="3" borderId="5" xfId="0" applyFont="1" applyFill="1" applyBorder="1"/>
    <xf numFmtId="3" fontId="13" fillId="3" borderId="5" xfId="0" applyNumberFormat="1" applyFont="1" applyFill="1" applyBorder="1"/>
    <xf numFmtId="0" fontId="14" fillId="0" borderId="0" xfId="0" applyFont="1"/>
    <xf numFmtId="3" fontId="14" fillId="0" borderId="0" xfId="0" applyNumberFormat="1" applyFont="1"/>
    <xf numFmtId="0" fontId="8" fillId="0" borderId="5" xfId="0" applyFont="1" applyFill="1" applyBorder="1"/>
    <xf numFmtId="0" fontId="4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3" borderId="4" xfId="0" applyFont="1" applyFill="1" applyBorder="1" applyAlignment="1">
      <alignment horizontal="left"/>
    </xf>
    <xf numFmtId="0" fontId="7" fillId="0" borderId="5" xfId="0" applyFont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7" fillId="4" borderId="5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6" fillId="3" borderId="5" xfId="0" applyFont="1" applyFill="1" applyBorder="1" applyAlignment="1">
      <alignment horizontal="left"/>
    </xf>
    <xf numFmtId="0" fontId="10" fillId="3" borderId="0" xfId="0" applyFont="1" applyFill="1" applyBorder="1" applyAlignment="1">
      <alignment horizontal="left"/>
    </xf>
    <xf numFmtId="0" fontId="7" fillId="0" borderId="0" xfId="0" applyFont="1" applyBorder="1" applyAlignment="1">
      <alignment horizontal="left"/>
    </xf>
    <xf numFmtId="0" fontId="6" fillId="5" borderId="0" xfId="0" applyFont="1" applyFill="1" applyBorder="1" applyAlignment="1">
      <alignment horizontal="left"/>
    </xf>
    <xf numFmtId="0" fontId="7" fillId="0" borderId="5" xfId="0" applyFont="1" applyBorder="1" applyAlignment="1">
      <alignment horizontal="left" wrapText="1"/>
    </xf>
    <xf numFmtId="0" fontId="6" fillId="3" borderId="0" xfId="0" applyFont="1" applyFill="1" applyBorder="1" applyAlignment="1">
      <alignment horizontal="left"/>
    </xf>
    <xf numFmtId="0" fontId="12" fillId="0" borderId="0" xfId="0" applyFont="1" applyAlignment="1">
      <alignment horizontal="left"/>
    </xf>
    <xf numFmtId="0" fontId="13" fillId="3" borderId="5" xfId="0" applyFont="1" applyFill="1" applyBorder="1" applyAlignment="1">
      <alignment horizontal="left"/>
    </xf>
    <xf numFmtId="0" fontId="14" fillId="0" borderId="0" xfId="0" applyFont="1" applyAlignment="1">
      <alignment horizontal="left"/>
    </xf>
    <xf numFmtId="0" fontId="0" fillId="0" borderId="0" xfId="0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165" fontId="15" fillId="6" borderId="11" xfId="0" applyNumberFormat="1" applyFont="1" applyFill="1" applyBorder="1" applyAlignment="1" applyProtection="1">
      <alignment vertical="center"/>
      <protection locked="0"/>
    </xf>
    <xf numFmtId="165" fontId="15" fillId="6" borderId="12" xfId="0" applyNumberFormat="1" applyFont="1" applyFill="1" applyBorder="1" applyAlignment="1" applyProtection="1">
      <alignment vertical="center"/>
      <protection locked="0"/>
    </xf>
    <xf numFmtId="0" fontId="15" fillId="0" borderId="1" xfId="0" applyFont="1" applyBorder="1" applyAlignment="1">
      <alignment vertical="center"/>
    </xf>
    <xf numFmtId="0" fontId="15" fillId="0" borderId="13" xfId="0" applyFont="1" applyBorder="1" applyAlignment="1">
      <alignment vertical="center"/>
    </xf>
    <xf numFmtId="9" fontId="15" fillId="7" borderId="14" xfId="0" applyNumberFormat="1" applyFont="1" applyFill="1" applyBorder="1" applyAlignment="1">
      <alignment vertical="center"/>
    </xf>
    <xf numFmtId="9" fontId="17" fillId="7" borderId="15" xfId="0" applyNumberFormat="1" applyFont="1" applyFill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6" xfId="0" applyFont="1" applyBorder="1" applyAlignment="1">
      <alignment vertical="center"/>
    </xf>
    <xf numFmtId="166" fontId="17" fillId="7" borderId="9" xfId="0" applyNumberFormat="1" applyFont="1" applyFill="1" applyBorder="1" applyAlignment="1">
      <alignment vertical="center"/>
    </xf>
    <xf numFmtId="166" fontId="17" fillId="6" borderId="8" xfId="0" applyNumberFormat="1" applyFont="1" applyFill="1" applyBorder="1" applyAlignment="1" applyProtection="1">
      <alignment vertical="center"/>
      <protection locked="0"/>
    </xf>
    <xf numFmtId="0" fontId="15" fillId="0" borderId="2" xfId="0" applyFont="1" applyBorder="1" applyAlignment="1">
      <alignment vertical="center"/>
    </xf>
    <xf numFmtId="165" fontId="15" fillId="6" borderId="5" xfId="0" applyNumberFormat="1" applyFont="1" applyFill="1" applyBorder="1" applyAlignment="1" applyProtection="1">
      <alignment vertical="center"/>
      <protection locked="0"/>
    </xf>
    <xf numFmtId="0" fontId="18" fillId="0" borderId="10" xfId="0" applyFont="1" applyBorder="1" applyAlignment="1">
      <alignment vertical="center"/>
    </xf>
    <xf numFmtId="165" fontId="16" fillId="7" borderId="5" xfId="0" applyNumberFormat="1" applyFont="1" applyFill="1" applyBorder="1" applyAlignment="1">
      <alignment vertical="center"/>
    </xf>
    <xf numFmtId="165" fontId="15" fillId="7" borderId="5" xfId="0" applyNumberFormat="1" applyFont="1" applyFill="1" applyBorder="1" applyAlignment="1">
      <alignment vertical="center"/>
    </xf>
    <xf numFmtId="165" fontId="15" fillId="7" borderId="4" xfId="0" applyNumberFormat="1" applyFont="1" applyFill="1" applyBorder="1" applyAlignment="1">
      <alignment vertical="center"/>
    </xf>
    <xf numFmtId="0" fontId="15" fillId="7" borderId="4" xfId="0" applyFont="1" applyFill="1" applyBorder="1" applyAlignment="1">
      <alignment vertical="center"/>
    </xf>
    <xf numFmtId="165" fontId="16" fillId="7" borderId="15" xfId="0" applyNumberFormat="1" applyFont="1" applyFill="1" applyBorder="1" applyAlignment="1">
      <alignment vertical="center"/>
    </xf>
    <xf numFmtId="165" fontId="15" fillId="7" borderId="15" xfId="0" applyNumberFormat="1" applyFont="1" applyFill="1" applyBorder="1" applyAlignment="1">
      <alignment vertical="center"/>
    </xf>
    <xf numFmtId="165" fontId="15" fillId="8" borderId="15" xfId="0" applyNumberFormat="1" applyFont="1" applyFill="1" applyBorder="1" applyAlignment="1">
      <alignment vertical="center"/>
    </xf>
    <xf numFmtId="165" fontId="15" fillId="6" borderId="0" xfId="0" applyNumberFormat="1" applyFont="1" applyFill="1" applyBorder="1" applyAlignment="1" applyProtection="1">
      <alignment vertical="center"/>
      <protection locked="0"/>
    </xf>
    <xf numFmtId="0" fontId="15" fillId="6" borderId="8" xfId="0" applyFont="1" applyFill="1" applyBorder="1" applyAlignment="1" applyProtection="1">
      <alignment vertical="center"/>
      <protection locked="0"/>
    </xf>
    <xf numFmtId="0" fontId="15" fillId="7" borderId="0" xfId="0" applyFont="1" applyFill="1" applyBorder="1" applyAlignment="1">
      <alignment vertical="center"/>
    </xf>
    <xf numFmtId="165" fontId="15" fillId="6" borderId="0" xfId="0" applyNumberFormat="1" applyFont="1" applyFill="1"/>
    <xf numFmtId="165" fontId="16" fillId="7" borderId="8" xfId="0" applyNumberFormat="1" applyFont="1" applyFill="1" applyBorder="1" applyAlignment="1">
      <alignment vertical="center"/>
    </xf>
    <xf numFmtId="165" fontId="15" fillId="7" borderId="8" xfId="0" applyNumberFormat="1" applyFont="1" applyFill="1" applyBorder="1" applyAlignment="1">
      <alignment vertical="center"/>
    </xf>
    <xf numFmtId="165" fontId="15" fillId="8" borderId="8" xfId="0" applyNumberFormat="1" applyFont="1" applyFill="1" applyBorder="1" applyAlignment="1">
      <alignment vertical="center"/>
    </xf>
    <xf numFmtId="165" fontId="15" fillId="6" borderId="2" xfId="0" applyNumberFormat="1" applyFont="1" applyFill="1" applyBorder="1" applyAlignment="1" applyProtection="1">
      <alignment vertical="center"/>
      <protection locked="0"/>
    </xf>
    <xf numFmtId="0" fontId="15" fillId="7" borderId="2" xfId="0" applyFont="1" applyFill="1" applyBorder="1" applyAlignment="1">
      <alignment vertical="center"/>
    </xf>
    <xf numFmtId="0" fontId="16" fillId="7" borderId="15" xfId="0" applyFont="1" applyFill="1" applyBorder="1" applyAlignment="1">
      <alignment vertical="center"/>
    </xf>
    <xf numFmtId="9" fontId="15" fillId="7" borderId="15" xfId="0" applyNumberFormat="1" applyFont="1" applyFill="1" applyBorder="1" applyAlignment="1">
      <alignment vertical="center"/>
    </xf>
    <xf numFmtId="0" fontId="15" fillId="7" borderId="4" xfId="0" applyFont="1" applyFill="1" applyBorder="1" applyAlignment="1">
      <alignment horizontal="center" vertical="center" wrapText="1"/>
    </xf>
    <xf numFmtId="0" fontId="15" fillId="7" borderId="5" xfId="0" applyFont="1" applyFill="1" applyBorder="1" applyAlignment="1">
      <alignment horizontal="center" vertical="center"/>
    </xf>
    <xf numFmtId="0" fontId="15" fillId="7" borderId="5" xfId="0" applyFont="1" applyFill="1" applyBorder="1" applyAlignment="1">
      <alignment vertical="center"/>
    </xf>
    <xf numFmtId="0" fontId="15" fillId="7" borderId="0" xfId="0" applyFont="1" applyFill="1" applyAlignment="1">
      <alignment vertical="center"/>
    </xf>
    <xf numFmtId="166" fontId="17" fillId="7" borderId="15" xfId="0" applyNumberFormat="1" applyFont="1" applyFill="1" applyBorder="1" applyAlignment="1">
      <alignment vertical="center"/>
    </xf>
    <xf numFmtId="166" fontId="17" fillId="6" borderId="15" xfId="0" applyNumberFormat="1" applyFont="1" applyFill="1" applyBorder="1" applyAlignment="1" applyProtection="1">
      <alignment vertical="center"/>
      <protection locked="0"/>
    </xf>
    <xf numFmtId="0" fontId="19" fillId="7" borderId="5" xfId="0" applyFont="1" applyFill="1" applyBorder="1" applyAlignment="1">
      <alignment horizontal="center" vertical="center" wrapText="1"/>
    </xf>
    <xf numFmtId="0" fontId="17" fillId="7" borderId="5" xfId="0" applyFont="1" applyFill="1" applyBorder="1" applyAlignment="1">
      <alignment horizontal="center" vertical="center"/>
    </xf>
    <xf numFmtId="0" fontId="15" fillId="7" borderId="7" xfId="0" applyFont="1" applyFill="1" applyBorder="1" applyAlignment="1">
      <alignment vertical="center"/>
    </xf>
    <xf numFmtId="0" fontId="22" fillId="0" borderId="0" xfId="0" applyFont="1" applyBorder="1" applyAlignment="1">
      <alignment horizontal="center"/>
    </xf>
    <xf numFmtId="0" fontId="23" fillId="0" borderId="22" xfId="0" applyFont="1" applyBorder="1" applyAlignment="1">
      <alignment horizontal="center" vertical="center" wrapText="1"/>
    </xf>
    <xf numFmtId="0" fontId="23" fillId="0" borderId="23" xfId="0" applyFont="1" applyBorder="1" applyAlignment="1">
      <alignment horizontal="center" vertical="center" wrapText="1"/>
    </xf>
    <xf numFmtId="0" fontId="24" fillId="0" borderId="24" xfId="0" applyFont="1" applyBorder="1"/>
    <xf numFmtId="0" fontId="24" fillId="0" borderId="12" xfId="0" applyFont="1" applyBorder="1"/>
    <xf numFmtId="3" fontId="24" fillId="0" borderId="12" xfId="0" applyNumberFormat="1" applyFont="1" applyBorder="1" applyAlignment="1"/>
    <xf numFmtId="3" fontId="24" fillId="0" borderId="17" xfId="0" applyNumberFormat="1" applyFont="1" applyBorder="1" applyAlignment="1"/>
    <xf numFmtId="3" fontId="24" fillId="0" borderId="11" xfId="0" applyNumberFormat="1" applyFont="1" applyBorder="1" applyAlignment="1"/>
    <xf numFmtId="3" fontId="24" fillId="0" borderId="25" xfId="0" applyNumberFormat="1" applyFont="1" applyBorder="1" applyAlignment="1"/>
    <xf numFmtId="0" fontId="24" fillId="0" borderId="26" xfId="0" applyFont="1" applyBorder="1"/>
    <xf numFmtId="0" fontId="24" fillId="0" borderId="5" xfId="0" applyFont="1" applyBorder="1"/>
    <xf numFmtId="3" fontId="24" fillId="0" borderId="5" xfId="0" applyNumberFormat="1" applyFont="1" applyBorder="1" applyAlignment="1"/>
    <xf numFmtId="3" fontId="24" fillId="0" borderId="7" xfId="0" applyNumberFormat="1" applyFont="1" applyBorder="1" applyAlignment="1"/>
    <xf numFmtId="3" fontId="24" fillId="0" borderId="27" xfId="0" applyNumberFormat="1" applyFont="1" applyBorder="1" applyAlignment="1"/>
    <xf numFmtId="0" fontId="24" fillId="0" borderId="28" xfId="0" applyFont="1" applyBorder="1"/>
    <xf numFmtId="0" fontId="24" fillId="0" borderId="8" xfId="0" applyFont="1" applyBorder="1"/>
    <xf numFmtId="3" fontId="24" fillId="0" borderId="8" xfId="0" applyNumberFormat="1" applyFont="1" applyBorder="1" applyAlignment="1"/>
    <xf numFmtId="3" fontId="24" fillId="0" borderId="22" xfId="0" applyNumberFormat="1" applyFont="1" applyBorder="1" applyAlignment="1"/>
    <xf numFmtId="3" fontId="24" fillId="0" borderId="9" xfId="0" applyNumberFormat="1" applyFont="1" applyBorder="1" applyAlignment="1"/>
    <xf numFmtId="3" fontId="24" fillId="0" borderId="29" xfId="0" applyNumberFormat="1" applyFont="1" applyBorder="1" applyAlignment="1"/>
    <xf numFmtId="0" fontId="25" fillId="5" borderId="31" xfId="0" applyFont="1" applyFill="1" applyBorder="1"/>
    <xf numFmtId="0" fontId="25" fillId="5" borderId="31" xfId="0" quotePrefix="1" applyFont="1" applyFill="1" applyBorder="1" applyAlignment="1">
      <alignment horizontal="center"/>
    </xf>
    <xf numFmtId="3" fontId="25" fillId="5" borderId="31" xfId="0" applyNumberFormat="1" applyFont="1" applyFill="1" applyBorder="1" applyAlignment="1"/>
    <xf numFmtId="3" fontId="25" fillId="5" borderId="32" xfId="0" applyNumberFormat="1" applyFont="1" applyFill="1" applyBorder="1" applyAlignment="1"/>
    <xf numFmtId="0" fontId="26" fillId="0" borderId="0" xfId="0" applyFont="1"/>
    <xf numFmtId="3" fontId="26" fillId="0" borderId="0" xfId="0" applyNumberFormat="1" applyFont="1"/>
    <xf numFmtId="0" fontId="7" fillId="0" borderId="0" xfId="0" applyFont="1"/>
    <xf numFmtId="3" fontId="4" fillId="0" borderId="5" xfId="0" applyNumberFormat="1" applyFont="1" applyBorder="1"/>
    <xf numFmtId="0" fontId="1" fillId="0" borderId="0" xfId="0" applyFont="1" applyFill="1"/>
    <xf numFmtId="3" fontId="1" fillId="0" borderId="0" xfId="0" applyNumberFormat="1" applyFont="1" applyFill="1"/>
    <xf numFmtId="3" fontId="6" fillId="5" borderId="23" xfId="0" applyNumberFormat="1" applyFont="1" applyFill="1" applyBorder="1" applyAlignment="1">
      <alignment horizontal="right"/>
    </xf>
    <xf numFmtId="3" fontId="6" fillId="5" borderId="22" xfId="0" applyNumberFormat="1" applyFont="1" applyFill="1" applyBorder="1" applyAlignment="1">
      <alignment horizontal="right"/>
    </xf>
    <xf numFmtId="3" fontId="5" fillId="5" borderId="27" xfId="0" applyNumberFormat="1" applyFont="1" applyFill="1" applyBorder="1" applyAlignment="1">
      <alignment horizontal="right" vertical="center"/>
    </xf>
    <xf numFmtId="3" fontId="5" fillId="5" borderId="5" xfId="0" applyNumberFormat="1" applyFont="1" applyFill="1" applyBorder="1" applyAlignment="1">
      <alignment horizontal="right" vertical="center"/>
    </xf>
    <xf numFmtId="0" fontId="3" fillId="0" borderId="0" xfId="0" applyFont="1" applyFill="1"/>
    <xf numFmtId="0" fontId="6" fillId="5" borderId="36" xfId="0" applyFont="1" applyFill="1" applyBorder="1" applyAlignment="1">
      <alignment horizontal="center" vertical="center" wrapText="1"/>
    </xf>
    <xf numFmtId="0" fontId="6" fillId="5" borderId="37" xfId="0" applyFont="1" applyFill="1" applyBorder="1" applyAlignment="1">
      <alignment horizontal="center" vertical="center" wrapText="1"/>
    </xf>
    <xf numFmtId="0" fontId="0" fillId="0" borderId="0" xfId="0" applyFont="1"/>
    <xf numFmtId="3" fontId="7" fillId="0" borderId="42" xfId="0" applyNumberFormat="1" applyFont="1" applyBorder="1"/>
    <xf numFmtId="3" fontId="7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3" fontId="4" fillId="4" borderId="23" xfId="0" applyNumberFormat="1" applyFont="1" applyFill="1" applyBorder="1"/>
    <xf numFmtId="3" fontId="4" fillId="4" borderId="22" xfId="0" applyNumberFormat="1" applyFont="1" applyFill="1" applyBorder="1" applyAlignment="1">
      <alignment vertical="center"/>
    </xf>
    <xf numFmtId="3" fontId="7" fillId="4" borderId="27" xfId="0" applyNumberFormat="1" applyFont="1" applyFill="1" applyBorder="1"/>
    <xf numFmtId="3" fontId="7" fillId="4" borderId="8" xfId="0" applyNumberFormat="1" applyFont="1" applyFill="1" applyBorder="1" applyAlignment="1">
      <alignment wrapText="1"/>
    </xf>
    <xf numFmtId="3" fontId="7" fillId="4" borderId="10" xfId="0" applyNumberFormat="1" applyFont="1" applyFill="1" applyBorder="1" applyAlignment="1">
      <alignment wrapText="1"/>
    </xf>
    <xf numFmtId="3" fontId="7" fillId="4" borderId="5" xfId="0" applyNumberFormat="1" applyFont="1" applyFill="1" applyBorder="1" applyAlignment="1">
      <alignment wrapText="1"/>
    </xf>
    <xf numFmtId="3" fontId="7" fillId="4" borderId="3" xfId="0" applyNumberFormat="1" applyFont="1" applyFill="1" applyBorder="1" applyAlignment="1">
      <alignment wrapText="1"/>
    </xf>
    <xf numFmtId="0" fontId="4" fillId="4" borderId="47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3" fontId="4" fillId="0" borderId="23" xfId="0" applyNumberFormat="1" applyFont="1" applyBorder="1"/>
    <xf numFmtId="3" fontId="29" fillId="0" borderId="22" xfId="0" applyNumberFormat="1" applyFont="1" applyBorder="1" applyAlignment="1">
      <alignment vertical="center"/>
    </xf>
    <xf numFmtId="3" fontId="4" fillId="0" borderId="22" xfId="0" applyNumberFormat="1" applyFont="1" applyBorder="1" applyAlignment="1">
      <alignment vertical="center"/>
    </xf>
    <xf numFmtId="3" fontId="7" fillId="0" borderId="27" xfId="0" applyNumberFormat="1" applyFont="1" applyBorder="1"/>
    <xf numFmtId="3" fontId="8" fillId="0" borderId="5" xfId="0" applyNumberFormat="1" applyFont="1" applyFill="1" applyBorder="1" applyAlignment="1">
      <alignment wrapText="1"/>
    </xf>
    <xf numFmtId="3" fontId="7" fillId="0" borderId="5" xfId="0" applyNumberFormat="1" applyFont="1" applyFill="1" applyBorder="1" applyAlignment="1">
      <alignment wrapText="1"/>
    </xf>
    <xf numFmtId="3" fontId="8" fillId="0" borderId="3" xfId="0" applyNumberFormat="1" applyFont="1" applyFill="1" applyBorder="1" applyAlignment="1">
      <alignment wrapText="1"/>
    </xf>
    <xf numFmtId="3" fontId="7" fillId="0" borderId="3" xfId="0" applyNumberFormat="1" applyFont="1" applyFill="1" applyBorder="1" applyAlignment="1">
      <alignment wrapText="1"/>
    </xf>
    <xf numFmtId="0" fontId="4" fillId="0" borderId="47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1" fillId="0" borderId="0" xfId="0" applyFont="1"/>
    <xf numFmtId="3" fontId="0" fillId="0" borderId="0" xfId="0" applyNumberFormat="1" applyFont="1"/>
    <xf numFmtId="3" fontId="7" fillId="0" borderId="42" xfId="0" applyNumberFormat="1" applyFont="1" applyFill="1" applyBorder="1"/>
    <xf numFmtId="0" fontId="4" fillId="0" borderId="43" xfId="0" applyFont="1" applyFill="1" applyBorder="1" applyAlignment="1">
      <alignment horizontal="center" wrapText="1"/>
    </xf>
    <xf numFmtId="3" fontId="5" fillId="0" borderId="32" xfId="0" applyNumberFormat="1" applyFont="1" applyBorder="1"/>
    <xf numFmtId="3" fontId="5" fillId="0" borderId="31" xfId="0" applyNumberFormat="1" applyFont="1" applyBorder="1" applyAlignment="1">
      <alignment vertical="center"/>
    </xf>
    <xf numFmtId="3" fontId="7" fillId="0" borderId="29" xfId="0" applyNumberFormat="1" applyFont="1" applyFill="1" applyBorder="1"/>
    <xf numFmtId="3" fontId="7" fillId="0" borderId="8" xfId="0" applyNumberFormat="1" applyFont="1" applyFill="1" applyBorder="1"/>
    <xf numFmtId="3" fontId="7" fillId="4" borderId="8" xfId="0" applyNumberFormat="1" applyFont="1" applyFill="1" applyBorder="1"/>
    <xf numFmtId="0" fontId="4" fillId="0" borderId="21" xfId="0" applyFont="1" applyFill="1" applyBorder="1" applyAlignment="1">
      <alignment horizontal="center" wrapText="1"/>
    </xf>
    <xf numFmtId="0" fontId="4" fillId="0" borderId="26" xfId="0" applyFont="1" applyFill="1" applyBorder="1" applyAlignment="1">
      <alignment horizontal="center" wrapText="1"/>
    </xf>
    <xf numFmtId="3" fontId="5" fillId="0" borderId="36" xfId="0" applyNumberFormat="1" applyFont="1" applyBorder="1"/>
    <xf numFmtId="3" fontId="5" fillId="0" borderId="37" xfId="0" applyNumberFormat="1" applyFont="1" applyBorder="1" applyAlignment="1">
      <alignment vertical="center"/>
    </xf>
    <xf numFmtId="0" fontId="5" fillId="0" borderId="37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3" fontId="7" fillId="0" borderId="25" xfId="0" applyNumberFormat="1" applyFont="1" applyFill="1" applyBorder="1"/>
    <xf numFmtId="3" fontId="7" fillId="0" borderId="12" xfId="0" applyNumberFormat="1" applyFont="1" applyFill="1" applyBorder="1"/>
    <xf numFmtId="0" fontId="32" fillId="0" borderId="0" xfId="0" applyFont="1"/>
    <xf numFmtId="0" fontId="5" fillId="0" borderId="23" xfId="0" applyFont="1" applyBorder="1" applyAlignment="1">
      <alignment horizontal="center"/>
    </xf>
    <xf numFmtId="0" fontId="5" fillId="0" borderId="22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3" fontId="7" fillId="0" borderId="23" xfId="0" applyNumberFormat="1" applyFont="1" applyBorder="1"/>
    <xf numFmtId="3" fontId="7" fillId="0" borderId="22" xfId="0" applyNumberFormat="1" applyFont="1" applyBorder="1"/>
    <xf numFmtId="3" fontId="7" fillId="0" borderId="27" xfId="0" applyNumberFormat="1" applyFont="1" applyBorder="1" applyAlignment="1">
      <alignment horizontal="center"/>
    </xf>
    <xf numFmtId="0" fontId="0" fillId="9" borderId="5" xfId="0" applyFill="1" applyBorder="1"/>
    <xf numFmtId="0" fontId="7" fillId="0" borderId="53" xfId="0" quotePrefix="1" applyFont="1" applyBorder="1" applyAlignment="1">
      <alignment horizontal="center"/>
    </xf>
    <xf numFmtId="3" fontId="7" fillId="4" borderId="17" xfId="0" applyNumberFormat="1" applyFont="1" applyFill="1" applyBorder="1"/>
    <xf numFmtId="0" fontId="33" fillId="0" borderId="0" xfId="0" applyFont="1" applyFill="1" applyAlignment="1">
      <alignment horizontal="center"/>
    </xf>
    <xf numFmtId="0" fontId="5" fillId="0" borderId="22" xfId="0" applyFont="1" applyBorder="1" applyAlignment="1">
      <alignment horizontal="center"/>
    </xf>
    <xf numFmtId="0" fontId="35" fillId="0" borderId="0" xfId="2" applyFont="1"/>
    <xf numFmtId="0" fontId="36" fillId="0" borderId="0" xfId="2" applyFont="1"/>
    <xf numFmtId="0" fontId="8" fillId="0" borderId="0" xfId="2" applyFont="1" applyFill="1"/>
    <xf numFmtId="0" fontId="37" fillId="0" borderId="0" xfId="2" applyFont="1" applyFill="1"/>
    <xf numFmtId="168" fontId="0" fillId="0" borderId="0" xfId="4" applyNumberFormat="1" applyFont="1"/>
    <xf numFmtId="168" fontId="0" fillId="0" borderId="0" xfId="4" applyNumberFormat="1" applyFont="1" applyFill="1"/>
    <xf numFmtId="168" fontId="32" fillId="0" borderId="0" xfId="4" applyNumberFormat="1" applyFont="1" applyFill="1" applyAlignment="1">
      <alignment horizontal="left"/>
    </xf>
    <xf numFmtId="168" fontId="0" fillId="0" borderId="0" xfId="4" applyNumberFormat="1" applyFont="1" applyAlignment="1">
      <alignment horizontal="left"/>
    </xf>
    <xf numFmtId="168" fontId="27" fillId="0" borderId="0" xfId="4" applyNumberFormat="1" applyFont="1"/>
    <xf numFmtId="168" fontId="32" fillId="0" borderId="0" xfId="4" applyNumberFormat="1" applyFont="1"/>
    <xf numFmtId="168" fontId="31" fillId="0" borderId="0" xfId="4" applyNumberFormat="1" applyFont="1"/>
    <xf numFmtId="168" fontId="1" fillId="0" borderId="0" xfId="4" applyNumberFormat="1" applyFont="1"/>
    <xf numFmtId="168" fontId="3" fillId="0" borderId="0" xfId="4" applyNumberFormat="1" applyFont="1"/>
    <xf numFmtId="168" fontId="3" fillId="0" borderId="0" xfId="4" applyNumberFormat="1" applyFont="1" applyFill="1"/>
    <xf numFmtId="168" fontId="1" fillId="0" borderId="0" xfId="4" applyNumberFormat="1" applyFont="1" applyFill="1"/>
    <xf numFmtId="168" fontId="8" fillId="0" borderId="0" xfId="4" applyNumberFormat="1" applyFont="1" applyFill="1"/>
    <xf numFmtId="0" fontId="40" fillId="0" borderId="0" xfId="0" applyFont="1" applyFill="1" applyBorder="1"/>
    <xf numFmtId="0" fontId="0" fillId="11" borderId="5" xfId="0" applyFill="1" applyBorder="1"/>
    <xf numFmtId="0" fontId="40" fillId="11" borderId="5" xfId="0" applyFont="1" applyFill="1" applyBorder="1"/>
    <xf numFmtId="0" fontId="39" fillId="11" borderId="5" xfId="0" applyFont="1" applyFill="1" applyBorder="1"/>
    <xf numFmtId="0" fontId="40" fillId="12" borderId="5" xfId="0" applyFont="1" applyFill="1" applyBorder="1"/>
    <xf numFmtId="0" fontId="39" fillId="0" borderId="5" xfId="0" applyFont="1" applyBorder="1"/>
    <xf numFmtId="0" fontId="0" fillId="0" borderId="5" xfId="0" applyBorder="1"/>
    <xf numFmtId="0" fontId="40" fillId="13" borderId="5" xfId="0" applyFont="1" applyFill="1" applyBorder="1"/>
    <xf numFmtId="0" fontId="0" fillId="0" borderId="5" xfId="0" applyFill="1" applyBorder="1"/>
    <xf numFmtId="0" fontId="40" fillId="0" borderId="5" xfId="0" applyFont="1" applyFill="1" applyBorder="1"/>
    <xf numFmtId="0" fontId="40" fillId="14" borderId="5" xfId="0" applyFont="1" applyFill="1" applyBorder="1"/>
    <xf numFmtId="0" fontId="41" fillId="13" borderId="5" xfId="0" applyFont="1" applyFill="1" applyBorder="1"/>
    <xf numFmtId="0" fontId="41" fillId="14" borderId="5" xfId="0" applyFont="1" applyFill="1" applyBorder="1"/>
    <xf numFmtId="0" fontId="40" fillId="0" borderId="15" xfId="0" applyFont="1" applyFill="1" applyBorder="1"/>
    <xf numFmtId="0" fontId="40" fillId="0" borderId="5" xfId="0" applyFont="1" applyFill="1" applyBorder="1" applyAlignment="1">
      <alignment wrapText="1"/>
    </xf>
    <xf numFmtId="0" fontId="40" fillId="15" borderId="5" xfId="0" applyFont="1" applyFill="1" applyBorder="1"/>
    <xf numFmtId="0" fontId="0" fillId="0" borderId="5" xfId="0" applyBorder="1" applyAlignment="1">
      <alignment horizontal="center"/>
    </xf>
    <xf numFmtId="0" fontId="39" fillId="4" borderId="5" xfId="0" applyFont="1" applyFill="1" applyBorder="1" applyAlignment="1">
      <alignment horizontal="center"/>
    </xf>
    <xf numFmtId="0" fontId="0" fillId="17" borderId="5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169" fontId="27" fillId="0" borderId="0" xfId="5" applyNumberFormat="1" applyFont="1"/>
    <xf numFmtId="169" fontId="43" fillId="0" borderId="5" xfId="5" applyNumberFormat="1" applyFont="1" applyFill="1" applyBorder="1"/>
    <xf numFmtId="169" fontId="40" fillId="0" borderId="5" xfId="0" applyNumberFormat="1" applyFont="1" applyFill="1" applyBorder="1"/>
    <xf numFmtId="168" fontId="40" fillId="0" borderId="5" xfId="4" applyNumberFormat="1" applyFont="1" applyFill="1" applyBorder="1"/>
    <xf numFmtId="0" fontId="0" fillId="4" borderId="0" xfId="0" applyFill="1"/>
    <xf numFmtId="168" fontId="44" fillId="18" borderId="54" xfId="4" applyNumberFormat="1" applyFont="1" applyFill="1" applyBorder="1"/>
    <xf numFmtId="0" fontId="42" fillId="0" borderId="17" xfId="0" applyFont="1" applyFill="1" applyBorder="1"/>
    <xf numFmtId="168" fontId="42" fillId="0" borderId="5" xfId="4" applyNumberFormat="1" applyFont="1" applyFill="1" applyBorder="1"/>
    <xf numFmtId="0" fontId="0" fillId="0" borderId="1" xfId="0" applyFont="1" applyBorder="1" applyAlignment="1"/>
    <xf numFmtId="168" fontId="27" fillId="0" borderId="1" xfId="4" applyNumberFormat="1" applyFont="1" applyBorder="1" applyAlignment="1"/>
    <xf numFmtId="0" fontId="40" fillId="19" borderId="5" xfId="0" applyFont="1" applyFill="1" applyBorder="1"/>
    <xf numFmtId="168" fontId="40" fillId="0" borderId="5" xfId="4" applyNumberFormat="1" applyFont="1" applyFill="1" applyBorder="1" applyAlignment="1">
      <alignment horizontal="center"/>
    </xf>
    <xf numFmtId="168" fontId="42" fillId="0" borderId="5" xfId="4" applyNumberFormat="1" applyFont="1" applyFill="1" applyBorder="1" applyAlignment="1"/>
    <xf numFmtId="168" fontId="44" fillId="18" borderId="54" xfId="4" applyNumberFormat="1" applyFont="1" applyFill="1" applyBorder="1" applyAlignment="1"/>
    <xf numFmtId="168" fontId="40" fillId="0" borderId="5" xfId="4" applyNumberFormat="1" applyFont="1" applyFill="1" applyBorder="1" applyAlignment="1"/>
    <xf numFmtId="0" fontId="40" fillId="0" borderId="0" xfId="0" applyFont="1" applyAlignment="1">
      <alignment horizontal="center"/>
    </xf>
    <xf numFmtId="168" fontId="40" fillId="0" borderId="0" xfId="4" applyNumberFormat="1" applyFont="1" applyAlignment="1"/>
    <xf numFmtId="0" fontId="40" fillId="0" borderId="0" xfId="0" applyFont="1"/>
    <xf numFmtId="0" fontId="40" fillId="20" borderId="5" xfId="0" applyFont="1" applyFill="1" applyBorder="1"/>
    <xf numFmtId="168" fontId="40" fillId="0" borderId="1" xfId="4" applyNumberFormat="1" applyFont="1" applyFill="1" applyBorder="1" applyAlignment="1"/>
    <xf numFmtId="0" fontId="40" fillId="0" borderId="12" xfId="0" applyFont="1" applyFill="1" applyBorder="1"/>
    <xf numFmtId="0" fontId="0" fillId="0" borderId="0" xfId="0"/>
    <xf numFmtId="168" fontId="40" fillId="0" borderId="1" xfId="4" applyNumberFormat="1" applyFont="1" applyFill="1" applyBorder="1"/>
    <xf numFmtId="169" fontId="40" fillId="0" borderId="1" xfId="0" applyNumberFormat="1" applyFont="1" applyFill="1" applyBorder="1"/>
    <xf numFmtId="168" fontId="40" fillId="0" borderId="1" xfId="0" applyNumberFormat="1" applyFont="1" applyFill="1" applyBorder="1"/>
    <xf numFmtId="3" fontId="0" fillId="0" borderId="0" xfId="7" applyNumberFormat="1" applyFont="1" applyFill="1"/>
    <xf numFmtId="3" fontId="7" fillId="0" borderId="0" xfId="0" applyNumberFormat="1" applyFont="1"/>
    <xf numFmtId="168" fontId="7" fillId="0" borderId="0" xfId="4" applyNumberFormat="1" applyFont="1"/>
    <xf numFmtId="168" fontId="7" fillId="0" borderId="5" xfId="4" applyNumberFormat="1" applyFont="1" applyBorder="1"/>
    <xf numFmtId="168" fontId="7" fillId="0" borderId="5" xfId="4" applyNumberFormat="1" applyFont="1" applyBorder="1" applyAlignment="1" applyProtection="1">
      <alignment horizontal="left" vertical="center" wrapText="1"/>
      <protection locked="0"/>
    </xf>
    <xf numFmtId="168" fontId="6" fillId="0" borderId="5" xfId="4" applyNumberFormat="1" applyFont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right"/>
    </xf>
    <xf numFmtId="3" fontId="7" fillId="0" borderId="0" xfId="0" applyNumberFormat="1" applyFont="1" applyBorder="1" applyAlignment="1"/>
    <xf numFmtId="0" fontId="7" fillId="0" borderId="0" xfId="0" applyFont="1" applyBorder="1" applyAlignment="1"/>
    <xf numFmtId="0" fontId="46" fillId="0" borderId="0" xfId="0" applyFont="1" applyAlignment="1">
      <alignment vertical="center"/>
    </xf>
    <xf numFmtId="0" fontId="7" fillId="0" borderId="5" xfId="0" applyFont="1" applyBorder="1" applyAlignment="1">
      <alignment horizontal="center" vertical="center" wrapText="1"/>
    </xf>
    <xf numFmtId="0" fontId="7" fillId="21" borderId="5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5" xfId="0" applyFont="1" applyBorder="1" applyAlignment="1">
      <alignment horizontal="center" vertical="center" wrapText="1"/>
    </xf>
    <xf numFmtId="0" fontId="7" fillId="21" borderId="5" xfId="0" applyFont="1" applyFill="1" applyBorder="1" applyAlignment="1">
      <alignment horizontal="right" vertical="center" wrapText="1"/>
    </xf>
    <xf numFmtId="0" fontId="7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right"/>
    </xf>
    <xf numFmtId="3" fontId="4" fillId="21" borderId="5" xfId="0" applyNumberFormat="1" applyFont="1" applyFill="1" applyBorder="1"/>
    <xf numFmtId="3" fontId="7" fillId="0" borderId="3" xfId="0" applyNumberFormat="1" applyFont="1" applyBorder="1"/>
    <xf numFmtId="3" fontId="7" fillId="0" borderId="55" xfId="0" applyNumberFormat="1" applyFont="1" applyBorder="1" applyAlignment="1">
      <alignment horizontal="center"/>
    </xf>
    <xf numFmtId="3" fontId="7" fillId="0" borderId="5" xfId="0" applyNumberFormat="1" applyFont="1" applyBorder="1" applyAlignment="1">
      <alignment horizontal="center"/>
    </xf>
    <xf numFmtId="3" fontId="4" fillId="21" borderId="5" xfId="0" applyNumberFormat="1" applyFont="1" applyFill="1" applyBorder="1" applyAlignment="1">
      <alignment horizontal="right"/>
    </xf>
    <xf numFmtId="0" fontId="5" fillId="22" borderId="5" xfId="0" applyFont="1" applyFill="1" applyBorder="1"/>
    <xf numFmtId="3" fontId="5" fillId="22" borderId="5" xfId="0" applyNumberFormat="1" applyFont="1" applyFill="1" applyBorder="1"/>
    <xf numFmtId="3" fontId="6" fillId="22" borderId="5" xfId="0" applyNumberFormat="1" applyFont="1" applyFill="1" applyBorder="1"/>
    <xf numFmtId="3" fontId="5" fillId="22" borderId="3" xfId="0" applyNumberFormat="1" applyFont="1" applyFill="1" applyBorder="1"/>
    <xf numFmtId="3" fontId="5" fillId="22" borderId="55" xfId="0" applyNumberFormat="1" applyFont="1" applyFill="1" applyBorder="1"/>
    <xf numFmtId="3" fontId="4" fillId="22" borderId="5" xfId="0" applyNumberFormat="1" applyFont="1" applyFill="1" applyBorder="1" applyAlignment="1">
      <alignment horizontal="right"/>
    </xf>
    <xf numFmtId="3" fontId="7" fillId="0" borderId="55" xfId="0" applyNumberFormat="1" applyFont="1" applyBorder="1"/>
    <xf numFmtId="3" fontId="6" fillId="22" borderId="5" xfId="0" applyNumberFormat="1" applyFont="1" applyFill="1" applyBorder="1" applyAlignment="1">
      <alignment horizontal="right"/>
    </xf>
    <xf numFmtId="3" fontId="7" fillId="0" borderId="5" xfId="0" applyNumberFormat="1" applyFont="1" applyBorder="1" applyAlignment="1">
      <alignment horizontal="right"/>
    </xf>
    <xf numFmtId="3" fontId="7" fillId="0" borderId="55" xfId="0" applyNumberFormat="1" applyFont="1" applyBorder="1" applyAlignment="1">
      <alignment horizontal="right"/>
    </xf>
    <xf numFmtId="14" fontId="7" fillId="0" borderId="5" xfId="0" applyNumberFormat="1" applyFont="1" applyBorder="1" applyAlignment="1">
      <alignment horizontal="left"/>
    </xf>
    <xf numFmtId="3" fontId="5" fillId="4" borderId="5" xfId="0" applyNumberFormat="1" applyFont="1" applyFill="1" applyBorder="1"/>
    <xf numFmtId="0" fontId="7" fillId="0" borderId="3" xfId="0" applyFont="1" applyBorder="1"/>
    <xf numFmtId="3" fontId="7" fillId="4" borderId="5" xfId="0" applyNumberFormat="1" applyFont="1" applyFill="1" applyBorder="1" applyAlignment="1">
      <alignment horizontal="right"/>
    </xf>
    <xf numFmtId="3" fontId="5" fillId="0" borderId="5" xfId="0" applyNumberFormat="1" applyFont="1" applyBorder="1"/>
    <xf numFmtId="14" fontId="7" fillId="0" borderId="5" xfId="0" applyNumberFormat="1" applyFont="1" applyBorder="1"/>
    <xf numFmtId="3" fontId="5" fillId="2" borderId="5" xfId="0" applyNumberFormat="1" applyFont="1" applyFill="1" applyBorder="1"/>
    <xf numFmtId="3" fontId="5" fillId="4" borderId="5" xfId="0" applyNumberFormat="1" applyFont="1" applyFill="1" applyBorder="1" applyAlignment="1">
      <alignment horizontal="right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5" xfId="0" applyFont="1" applyBorder="1" applyAlignment="1">
      <alignment horizontal="right" vertical="center" wrapText="1"/>
    </xf>
    <xf numFmtId="3" fontId="5" fillId="22" borderId="5" xfId="0" applyNumberFormat="1" applyFont="1" applyFill="1" applyBorder="1" applyAlignment="1">
      <alignment horizontal="right"/>
    </xf>
    <xf numFmtId="3" fontId="5" fillId="22" borderId="55" xfId="0" applyNumberFormat="1" applyFont="1" applyFill="1" applyBorder="1" applyAlignment="1">
      <alignment horizontal="right"/>
    </xf>
    <xf numFmtId="0" fontId="7" fillId="0" borderId="55" xfId="0" applyFont="1" applyBorder="1"/>
    <xf numFmtId="0" fontId="7" fillId="23" borderId="56" xfId="0" applyFont="1" applyFill="1" applyBorder="1" applyAlignment="1">
      <alignment horizontal="center" vertical="center" wrapText="1"/>
    </xf>
    <xf numFmtId="0" fontId="7" fillId="23" borderId="57" xfId="0" applyFont="1" applyFill="1" applyBorder="1" applyAlignment="1">
      <alignment horizontal="center" vertical="center" wrapText="1"/>
    </xf>
    <xf numFmtId="3" fontId="5" fillId="23" borderId="56" xfId="0" applyNumberFormat="1" applyFont="1" applyFill="1" applyBorder="1" applyAlignment="1">
      <alignment horizontal="right" vertical="center"/>
    </xf>
    <xf numFmtId="3" fontId="5" fillId="23" borderId="57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3" fontId="5" fillId="0" borderId="0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5" fillId="0" borderId="5" xfId="0" applyFont="1" applyBorder="1"/>
    <xf numFmtId="0" fontId="5" fillId="0" borderId="0" xfId="0" applyFont="1" applyBorder="1"/>
    <xf numFmtId="3" fontId="5" fillId="22" borderId="5" xfId="0" applyNumberFormat="1" applyFont="1" applyFill="1" applyBorder="1" applyAlignment="1">
      <alignment horizontal="center" vertical="center"/>
    </xf>
    <xf numFmtId="0" fontId="5" fillId="22" borderId="5" xfId="0" applyFont="1" applyFill="1" applyBorder="1" applyAlignment="1">
      <alignment horizontal="center" vertical="center"/>
    </xf>
    <xf numFmtId="168" fontId="8" fillId="0" borderId="0" xfId="4" applyNumberFormat="1" applyFont="1" applyFill="1" applyBorder="1"/>
    <xf numFmtId="0" fontId="35" fillId="0" borderId="0" xfId="2" applyFont="1" applyBorder="1"/>
    <xf numFmtId="0" fontId="36" fillId="0" borderId="0" xfId="2" applyFont="1" applyBorder="1"/>
    <xf numFmtId="168" fontId="37" fillId="0" borderId="5" xfId="4" applyNumberFormat="1" applyFont="1" applyFill="1" applyBorder="1" applyAlignment="1">
      <alignment horizontal="center"/>
    </xf>
    <xf numFmtId="168" fontId="29" fillId="0" borderId="5" xfId="4" applyNumberFormat="1" applyFont="1" applyFill="1" applyBorder="1" applyAlignment="1">
      <alignment horizontal="center"/>
    </xf>
    <xf numFmtId="0" fontId="29" fillId="0" borderId="5" xfId="2" quotePrefix="1" applyFont="1" applyFill="1" applyBorder="1" applyAlignment="1">
      <alignment horizontal="center"/>
    </xf>
    <xf numFmtId="168" fontId="29" fillId="0" borderId="5" xfId="4" applyNumberFormat="1" applyFont="1" applyFill="1" applyBorder="1"/>
    <xf numFmtId="168" fontId="37" fillId="0" borderId="5" xfId="4" applyNumberFormat="1" applyFont="1" applyFill="1" applyBorder="1"/>
    <xf numFmtId="0" fontId="37" fillId="0" borderId="5" xfId="2" applyFont="1" applyFill="1" applyBorder="1"/>
    <xf numFmtId="168" fontId="37" fillId="22" borderId="5" xfId="4" applyNumberFormat="1" applyFont="1" applyFill="1" applyBorder="1" applyAlignment="1">
      <alignment horizontal="center"/>
    </xf>
    <xf numFmtId="0" fontId="37" fillId="22" borderId="5" xfId="2" applyFont="1" applyFill="1" applyBorder="1"/>
    <xf numFmtId="168" fontId="37" fillId="22" borderId="5" xfId="4" applyNumberFormat="1" applyFont="1" applyFill="1" applyBorder="1"/>
    <xf numFmtId="0" fontId="12" fillId="3" borderId="0" xfId="0" applyFont="1" applyFill="1"/>
    <xf numFmtId="0" fontId="8" fillId="0" borderId="0" xfId="2" applyFont="1"/>
    <xf numFmtId="168" fontId="8" fillId="0" borderId="0" xfId="4" applyNumberFormat="1" applyFont="1"/>
    <xf numFmtId="0" fontId="6" fillId="0" borderId="5" xfId="0" applyFont="1" applyFill="1" applyBorder="1"/>
    <xf numFmtId="0" fontId="7" fillId="0" borderId="5" xfId="0" applyFont="1" applyFill="1" applyBorder="1"/>
    <xf numFmtId="0" fontId="0" fillId="0" borderId="0" xfId="0" applyBorder="1"/>
    <xf numFmtId="0" fontId="0" fillId="0" borderId="6" xfId="0" applyBorder="1"/>
    <xf numFmtId="0" fontId="12" fillId="0" borderId="0" xfId="0" applyFont="1" applyFill="1"/>
    <xf numFmtId="0" fontId="12" fillId="3" borderId="5" xfId="0" applyFont="1" applyFill="1" applyBorder="1"/>
    <xf numFmtId="168" fontId="8" fillId="0" borderId="0" xfId="4" applyNumberFormat="1" applyFont="1" applyBorder="1"/>
    <xf numFmtId="0" fontId="7" fillId="0" borderId="0" xfId="0" applyFont="1" applyFill="1" applyBorder="1"/>
    <xf numFmtId="0" fontId="7" fillId="3" borderId="5" xfId="0" applyFont="1" applyFill="1" applyBorder="1"/>
    <xf numFmtId="3" fontId="7" fillId="3" borderId="5" xfId="0" applyNumberFormat="1" applyFont="1" applyFill="1" applyBorder="1"/>
    <xf numFmtId="0" fontId="6" fillId="0" borderId="0" xfId="0" applyFont="1" applyFill="1"/>
    <xf numFmtId="168" fontId="7" fillId="0" borderId="0" xfId="4" applyNumberFormat="1" applyFont="1" applyFill="1"/>
    <xf numFmtId="0" fontId="7" fillId="0" borderId="0" xfId="0" applyFont="1" applyFill="1"/>
    <xf numFmtId="0" fontId="6" fillId="0" borderId="0" xfId="0" quotePrefix="1" applyFont="1"/>
    <xf numFmtId="0" fontId="12" fillId="0" borderId="0" xfId="0" applyFont="1" applyFill="1" applyAlignment="1">
      <alignment horizontal="center"/>
    </xf>
    <xf numFmtId="168" fontId="7" fillId="0" borderId="0" xfId="4" quotePrefix="1" applyNumberFormat="1" applyFont="1" applyBorder="1" applyAlignment="1">
      <alignment horizontal="center"/>
    </xf>
    <xf numFmtId="0" fontId="7" fillId="0" borderId="0" xfId="0" quotePrefix="1" applyFont="1"/>
    <xf numFmtId="3" fontId="12" fillId="3" borderId="5" xfId="0" applyNumberFormat="1" applyFont="1" applyFill="1" applyBorder="1"/>
    <xf numFmtId="168" fontId="7" fillId="0" borderId="3" xfId="4" applyNumberFormat="1" applyFont="1" applyBorder="1"/>
    <xf numFmtId="0" fontId="12" fillId="0" borderId="0" xfId="0" applyFont="1" applyFill="1" applyBorder="1"/>
    <xf numFmtId="168" fontId="7" fillId="0" borderId="0" xfId="4" applyNumberFormat="1" applyFont="1" applyFill="1" applyBorder="1"/>
    <xf numFmtId="168" fontId="7" fillId="0" borderId="5" xfId="4" applyNumberFormat="1" applyFont="1" applyBorder="1" applyAlignment="1">
      <alignment horizontal="right"/>
    </xf>
    <xf numFmtId="168" fontId="12" fillId="3" borderId="5" xfId="0" applyNumberFormat="1" applyFont="1" applyFill="1" applyBorder="1"/>
    <xf numFmtId="0" fontId="37" fillId="0" borderId="0" xfId="0" applyFont="1" applyBorder="1"/>
    <xf numFmtId="0" fontId="37" fillId="0" borderId="0" xfId="0" applyFont="1"/>
    <xf numFmtId="0" fontId="8" fillId="0" borderId="5" xfId="2" applyFont="1" applyFill="1" applyBorder="1"/>
    <xf numFmtId="168" fontId="8" fillId="0" borderId="5" xfId="4" applyNumberFormat="1" applyFont="1" applyFill="1" applyBorder="1"/>
    <xf numFmtId="168" fontId="8" fillId="0" borderId="5" xfId="4" applyNumberFormat="1" applyFont="1" applyFill="1" applyBorder="1" applyAlignment="1">
      <alignment horizontal="center"/>
    </xf>
    <xf numFmtId="0" fontId="5" fillId="0" borderId="0" xfId="0" applyFont="1" applyAlignment="1">
      <alignment horizontal="left"/>
    </xf>
    <xf numFmtId="0" fontId="37" fillId="0" borderId="5" xfId="2" applyFont="1" applyBorder="1" applyAlignment="1">
      <alignment horizontal="left"/>
    </xf>
    <xf numFmtId="3" fontId="10" fillId="3" borderId="3" xfId="0" applyNumberFormat="1" applyFont="1" applyFill="1" applyBorder="1"/>
    <xf numFmtId="0" fontId="3" fillId="0" borderId="0" xfId="0" applyFont="1" applyBorder="1"/>
    <xf numFmtId="0" fontId="1" fillId="0" borderId="0" xfId="0" applyFont="1" applyBorder="1"/>
    <xf numFmtId="0" fontId="11" fillId="0" borderId="0" xfId="0" applyFont="1" applyBorder="1"/>
    <xf numFmtId="3" fontId="7" fillId="4" borderId="6" xfId="0" applyNumberFormat="1" applyFont="1" applyFill="1" applyBorder="1"/>
    <xf numFmtId="3" fontId="6" fillId="3" borderId="3" xfId="0" applyNumberFormat="1" applyFont="1" applyFill="1" applyBorder="1"/>
    <xf numFmtId="0" fontId="3" fillId="0" borderId="6" xfId="0" applyFont="1" applyBorder="1"/>
    <xf numFmtId="0" fontId="1" fillId="0" borderId="6" xfId="0" applyFont="1" applyBorder="1"/>
    <xf numFmtId="0" fontId="11" fillId="0" borderId="6" xfId="0" applyFont="1" applyBorder="1"/>
    <xf numFmtId="0" fontId="6" fillId="0" borderId="6" xfId="0" applyFont="1" applyBorder="1"/>
    <xf numFmtId="0" fontId="12" fillId="0" borderId="14" xfId="0" applyFont="1" applyFill="1" applyBorder="1"/>
    <xf numFmtId="0" fontId="12" fillId="3" borderId="10" xfId="0" applyFont="1" applyFill="1" applyBorder="1"/>
    <xf numFmtId="0" fontId="12" fillId="3" borderId="2" xfId="0" applyFont="1" applyFill="1" applyBorder="1"/>
    <xf numFmtId="0" fontId="12" fillId="0" borderId="6" xfId="0" applyFont="1" applyFill="1" applyBorder="1"/>
    <xf numFmtId="168" fontId="7" fillId="0" borderId="6" xfId="4" applyNumberFormat="1" applyFont="1" applyFill="1" applyBorder="1"/>
    <xf numFmtId="0" fontId="11" fillId="0" borderId="0" xfId="0" applyFont="1" applyFill="1"/>
    <xf numFmtId="0" fontId="0" fillId="0" borderId="0" xfId="0" quotePrefix="1" applyFill="1" applyAlignment="1">
      <alignment horizontal="center"/>
    </xf>
    <xf numFmtId="0" fontId="7" fillId="0" borderId="5" xfId="0" applyFont="1" applyFill="1" applyBorder="1" applyAlignment="1">
      <alignment horizontal="right" wrapText="1"/>
    </xf>
    <xf numFmtId="0" fontId="0" fillId="24" borderId="0" xfId="0" quotePrefix="1" applyFont="1" applyFill="1" applyAlignment="1">
      <alignment horizontal="center"/>
    </xf>
    <xf numFmtId="0" fontId="7" fillId="24" borderId="5" xfId="0" applyFont="1" applyFill="1" applyBorder="1"/>
    <xf numFmtId="3" fontId="7" fillId="24" borderId="5" xfId="0" applyNumberFormat="1" applyFont="1" applyFill="1" applyBorder="1"/>
    <xf numFmtId="168" fontId="37" fillId="0" borderId="7" xfId="4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center"/>
    </xf>
    <xf numFmtId="0" fontId="8" fillId="0" borderId="0" xfId="2" applyFont="1" applyBorder="1"/>
    <xf numFmtId="0" fontId="37" fillId="0" borderId="0" xfId="2" applyFont="1" applyBorder="1"/>
    <xf numFmtId="0" fontId="8" fillId="0" borderId="0" xfId="0" applyFont="1"/>
    <xf numFmtId="168" fontId="7" fillId="0" borderId="0" xfId="0" applyNumberFormat="1" applyFont="1"/>
    <xf numFmtId="168" fontId="37" fillId="0" borderId="5" xfId="4" applyNumberFormat="1" applyFont="1" applyFill="1" applyBorder="1" applyAlignment="1">
      <alignment horizontal="center"/>
    </xf>
    <xf numFmtId="168" fontId="37" fillId="0" borderId="5" xfId="2" applyNumberFormat="1" applyFont="1" applyBorder="1"/>
    <xf numFmtId="168" fontId="37" fillId="22" borderId="5" xfId="2" applyNumberFormat="1" applyFont="1" applyFill="1" applyBorder="1"/>
    <xf numFmtId="168" fontId="37" fillId="23" borderId="5" xfId="4" applyNumberFormat="1" applyFont="1" applyFill="1" applyBorder="1" applyAlignment="1">
      <alignment horizontal="center"/>
    </xf>
    <xf numFmtId="168" fontId="29" fillId="23" borderId="5" xfId="4" applyNumberFormat="1" applyFont="1" applyFill="1" applyBorder="1" applyAlignment="1">
      <alignment horizontal="center"/>
    </xf>
    <xf numFmtId="168" fontId="37" fillId="0" borderId="5" xfId="4" applyNumberFormat="1" applyFont="1" applyBorder="1"/>
    <xf numFmtId="168" fontId="7" fillId="0" borderId="0" xfId="4" applyNumberFormat="1" applyFont="1" applyBorder="1"/>
    <xf numFmtId="168" fontId="0" fillId="0" borderId="0" xfId="4" applyNumberFormat="1" applyFont="1" applyBorder="1"/>
    <xf numFmtId="0" fontId="7" fillId="23" borderId="5" xfId="0" applyFont="1" applyFill="1" applyBorder="1"/>
    <xf numFmtId="0" fontId="37" fillId="22" borderId="5" xfId="2" applyFont="1" applyFill="1" applyBorder="1" applyAlignment="1">
      <alignment horizontal="left"/>
    </xf>
    <xf numFmtId="0" fontId="37" fillId="0" borderId="5" xfId="2" applyFont="1" applyFill="1" applyBorder="1" applyAlignment="1">
      <alignment horizontal="left"/>
    </xf>
    <xf numFmtId="0" fontId="35" fillId="0" borderId="0" xfId="2" applyFont="1" applyFill="1"/>
    <xf numFmtId="0" fontId="36" fillId="0" borderId="0" xfId="2" applyFont="1" applyFill="1"/>
    <xf numFmtId="0" fontId="5" fillId="0" borderId="5" xfId="0" applyFont="1" applyFill="1" applyBorder="1" applyAlignment="1">
      <alignment horizontal="left"/>
    </xf>
    <xf numFmtId="168" fontId="7" fillId="0" borderId="5" xfId="4" applyNumberFormat="1" applyFont="1" applyFill="1" applyBorder="1"/>
    <xf numFmtId="168" fontId="0" fillId="0" borderId="5" xfId="4" applyNumberFormat="1" applyFont="1" applyFill="1" applyBorder="1"/>
    <xf numFmtId="0" fontId="5" fillId="0" borderId="5" xfId="0" quotePrefix="1" applyFont="1" applyFill="1" applyBorder="1" applyAlignment="1">
      <alignment horizontal="left"/>
    </xf>
    <xf numFmtId="168" fontId="7" fillId="0" borderId="3" xfId="4" applyNumberFormat="1" applyFont="1" applyFill="1" applyBorder="1"/>
    <xf numFmtId="168" fontId="7" fillId="0" borderId="4" xfId="4" applyNumberFormat="1" applyFont="1" applyFill="1" applyBorder="1"/>
    <xf numFmtId="0" fontId="0" fillId="0" borderId="0" xfId="0" applyFill="1" applyBorder="1"/>
    <xf numFmtId="0" fontId="5" fillId="22" borderId="5" xfId="0" applyFont="1" applyFill="1" applyBorder="1" applyAlignment="1">
      <alignment horizontal="left"/>
    </xf>
    <xf numFmtId="0" fontId="37" fillId="22" borderId="5" xfId="0" applyFont="1" applyFill="1" applyBorder="1"/>
    <xf numFmtId="168" fontId="8" fillId="22" borderId="5" xfId="4" applyNumberFormat="1" applyFont="1" applyFill="1" applyBorder="1"/>
    <xf numFmtId="168" fontId="37" fillId="0" borderId="5" xfId="4" applyNumberFormat="1" applyFont="1" applyBorder="1" applyAlignment="1">
      <alignment horizontal="left"/>
    </xf>
    <xf numFmtId="0" fontId="1" fillId="0" borderId="0" xfId="0" applyFont="1" applyFill="1" applyBorder="1"/>
    <xf numFmtId="168" fontId="37" fillId="0" borderId="7" xfId="4" applyNumberFormat="1" applyFont="1" applyFill="1" applyBorder="1" applyAlignment="1">
      <alignment horizontal="center"/>
    </xf>
    <xf numFmtId="168" fontId="26" fillId="0" borderId="0" xfId="4" applyNumberFormat="1" applyFont="1"/>
    <xf numFmtId="168" fontId="35" fillId="0" borderId="0" xfId="4" applyNumberFormat="1" applyFont="1"/>
    <xf numFmtId="168" fontId="35" fillId="0" borderId="0" xfId="4" applyNumberFormat="1" applyFont="1" applyBorder="1"/>
    <xf numFmtId="168" fontId="36" fillId="0" borderId="0" xfId="4" applyNumberFormat="1" applyFont="1" applyBorder="1"/>
    <xf numFmtId="0" fontId="37" fillId="0" borderId="0" xfId="0" applyFont="1" applyFill="1" applyBorder="1"/>
    <xf numFmtId="168" fontId="0" fillId="0" borderId="0" xfId="4" applyNumberFormat="1" applyFont="1" applyFill="1" applyBorder="1"/>
    <xf numFmtId="168" fontId="37" fillId="0" borderId="8" xfId="4" applyNumberFormat="1" applyFont="1" applyFill="1" applyBorder="1"/>
    <xf numFmtId="168" fontId="0" fillId="0" borderId="12" xfId="4" applyNumberFormat="1" applyFont="1" applyFill="1" applyBorder="1"/>
    <xf numFmtId="168" fontId="37" fillId="0" borderId="12" xfId="4" applyNumberFormat="1" applyFont="1" applyFill="1" applyBorder="1"/>
    <xf numFmtId="0" fontId="36" fillId="0" borderId="4" xfId="2" applyFont="1" applyFill="1" applyBorder="1"/>
    <xf numFmtId="0" fontId="1" fillId="0" borderId="2" xfId="0" applyFont="1" applyFill="1" applyBorder="1"/>
    <xf numFmtId="0" fontId="5" fillId="0" borderId="0" xfId="0" quotePrefix="1" applyFont="1" applyFill="1" applyBorder="1" applyAlignment="1">
      <alignment horizontal="left"/>
    </xf>
    <xf numFmtId="0" fontId="8" fillId="0" borderId="0" xfId="0" applyFont="1" applyFill="1" applyBorder="1"/>
    <xf numFmtId="168" fontId="37" fillId="0" borderId="0" xfId="4" applyNumberFormat="1" applyFont="1" applyFill="1" applyBorder="1"/>
    <xf numFmtId="168" fontId="36" fillId="0" borderId="5" xfId="4" applyNumberFormat="1" applyFont="1" applyBorder="1"/>
    <xf numFmtId="168" fontId="35" fillId="0" borderId="5" xfId="4" applyNumberFormat="1" applyFont="1" applyBorder="1"/>
    <xf numFmtId="168" fontId="35" fillId="22" borderId="5" xfId="4" applyNumberFormat="1" applyFont="1" applyFill="1" applyBorder="1"/>
    <xf numFmtId="168" fontId="36" fillId="22" borderId="5" xfId="4" applyNumberFormat="1" applyFont="1" applyFill="1" applyBorder="1" applyAlignment="1">
      <alignment horizontal="center"/>
    </xf>
    <xf numFmtId="170" fontId="37" fillId="0" borderId="0" xfId="4" applyNumberFormat="1" applyFont="1" applyFill="1" applyBorder="1"/>
    <xf numFmtId="3" fontId="5" fillId="0" borderId="0" xfId="0" applyNumberFormat="1" applyFont="1"/>
    <xf numFmtId="0" fontId="6" fillId="5" borderId="4" xfId="0" applyFont="1" applyFill="1" applyBorder="1" applyAlignment="1"/>
    <xf numFmtId="0" fontId="7" fillId="3" borderId="9" xfId="0" applyFont="1" applyFill="1" applyBorder="1"/>
    <xf numFmtId="0" fontId="10" fillId="3" borderId="2" xfId="0" applyFont="1" applyFill="1" applyBorder="1"/>
    <xf numFmtId="0" fontId="7" fillId="0" borderId="4" xfId="0" applyFont="1" applyBorder="1"/>
    <xf numFmtId="168" fontId="7" fillId="0" borderId="0" xfId="4" applyNumberFormat="1" applyFont="1" applyBorder="1" applyAlignment="1" applyProtection="1">
      <alignment horizontal="left" vertical="center" wrapText="1"/>
      <protection locked="0"/>
    </xf>
    <xf numFmtId="3" fontId="12" fillId="3" borderId="5" xfId="0" applyNumberFormat="1" applyFont="1" applyFill="1" applyBorder="1" applyAlignment="1">
      <alignment horizontal="center"/>
    </xf>
    <xf numFmtId="0" fontId="40" fillId="0" borderId="4" xfId="0" applyFont="1" applyFill="1" applyBorder="1"/>
    <xf numFmtId="168" fontId="40" fillId="0" borderId="5" xfId="0" applyNumberFormat="1" applyFont="1" applyFill="1" applyBorder="1"/>
    <xf numFmtId="168" fontId="40" fillId="0" borderId="4" xfId="4" applyNumberFormat="1" applyFont="1" applyFill="1" applyBorder="1" applyAlignment="1"/>
    <xf numFmtId="168" fontId="40" fillId="0" borderId="4" xfId="4" applyNumberFormat="1" applyFont="1" applyFill="1" applyBorder="1"/>
    <xf numFmtId="168" fontId="44" fillId="18" borderId="59" xfId="4" applyNumberFormat="1" applyFont="1" applyFill="1" applyBorder="1"/>
    <xf numFmtId="168" fontId="42" fillId="0" borderId="3" xfId="4" applyNumberFormat="1" applyFont="1" applyFill="1" applyBorder="1"/>
    <xf numFmtId="168" fontId="40" fillId="0" borderId="3" xfId="4" applyNumberFormat="1" applyFont="1" applyFill="1" applyBorder="1"/>
    <xf numFmtId="0" fontId="42" fillId="0" borderId="60" xfId="0" applyFont="1" applyFill="1" applyBorder="1"/>
    <xf numFmtId="169" fontId="40" fillId="0" borderId="7" xfId="0" applyNumberFormat="1" applyFont="1" applyFill="1" applyBorder="1"/>
    <xf numFmtId="169" fontId="40" fillId="0" borderId="11" xfId="0" applyNumberFormat="1" applyFont="1" applyFill="1" applyBorder="1"/>
    <xf numFmtId="0" fontId="42" fillId="0" borderId="61" xfId="0" applyFont="1" applyFill="1" applyBorder="1"/>
    <xf numFmtId="168" fontId="44" fillId="18" borderId="62" xfId="4" applyNumberFormat="1" applyFont="1" applyFill="1" applyBorder="1"/>
    <xf numFmtId="169" fontId="44" fillId="18" borderId="63" xfId="6" applyNumberFormat="1" applyFont="1" applyFill="1" applyBorder="1"/>
    <xf numFmtId="169" fontId="40" fillId="0" borderId="26" xfId="0" applyNumberFormat="1" applyFont="1" applyFill="1" applyBorder="1"/>
    <xf numFmtId="3" fontId="7" fillId="4" borderId="0" xfId="0" applyNumberFormat="1" applyFont="1" applyFill="1" applyBorder="1"/>
    <xf numFmtId="168" fontId="7" fillId="0" borderId="0" xfId="4" quotePrefix="1" applyNumberFormat="1" applyFont="1" applyBorder="1"/>
    <xf numFmtId="168" fontId="7" fillId="3" borderId="5" xfId="0" applyNumberFormat="1" applyFont="1" applyFill="1" applyBorder="1"/>
    <xf numFmtId="3" fontId="5" fillId="0" borderId="3" xfId="0" applyNumberFormat="1" applyFont="1" applyBorder="1"/>
    <xf numFmtId="3" fontId="8" fillId="4" borderId="5" xfId="0" applyNumberFormat="1" applyFont="1" applyFill="1" applyBorder="1"/>
    <xf numFmtId="3" fontId="8" fillId="0" borderId="5" xfId="0" applyNumberFormat="1" applyFont="1" applyBorder="1"/>
    <xf numFmtId="168" fontId="0" fillId="0" borderId="0" xfId="0" applyNumberFormat="1" applyFill="1" applyBorder="1"/>
    <xf numFmtId="0" fontId="8" fillId="0" borderId="5" xfId="0" applyFont="1" applyFill="1" applyBorder="1"/>
    <xf numFmtId="168" fontId="37" fillId="22" borderId="5" xfId="4" applyNumberFormat="1" applyFont="1" applyFill="1" applyBorder="1" applyAlignment="1">
      <alignment horizontal="center"/>
    </xf>
    <xf numFmtId="0" fontId="37" fillId="22" borderId="5" xfId="8" applyFont="1" applyFill="1" applyBorder="1"/>
    <xf numFmtId="168" fontId="37" fillId="22" borderId="5" xfId="4" applyNumberFormat="1" applyFont="1" applyFill="1" applyBorder="1"/>
    <xf numFmtId="0" fontId="6" fillId="0" borderId="5" xfId="0" applyFont="1" applyFill="1" applyBorder="1"/>
    <xf numFmtId="0" fontId="7" fillId="0" borderId="5" xfId="0" applyFont="1" applyFill="1" applyBorder="1"/>
    <xf numFmtId="0" fontId="8" fillId="0" borderId="5" xfId="8" applyFont="1" applyFill="1" applyBorder="1"/>
    <xf numFmtId="168" fontId="8" fillId="0" borderId="5" xfId="4" applyNumberFormat="1" applyFont="1" applyFill="1" applyBorder="1"/>
    <xf numFmtId="0" fontId="37" fillId="0" borderId="5" xfId="8" applyFont="1" applyBorder="1" applyAlignment="1">
      <alignment horizontal="left"/>
    </xf>
    <xf numFmtId="0" fontId="37" fillId="22" borderId="5" xfId="8" applyFont="1" applyFill="1" applyBorder="1" applyAlignment="1">
      <alignment horizontal="left"/>
    </xf>
    <xf numFmtId="0" fontId="5" fillId="0" borderId="5" xfId="0" applyFont="1" applyFill="1" applyBorder="1" applyAlignment="1">
      <alignment horizontal="left"/>
    </xf>
    <xf numFmtId="0" fontId="5" fillId="0" borderId="5" xfId="0" quotePrefix="1" applyFont="1" applyFill="1" applyBorder="1" applyAlignment="1">
      <alignment horizontal="left"/>
    </xf>
    <xf numFmtId="0" fontId="5" fillId="22" borderId="5" xfId="0" applyFont="1" applyFill="1" applyBorder="1" applyAlignment="1">
      <alignment horizontal="left"/>
    </xf>
    <xf numFmtId="0" fontId="37" fillId="22" borderId="5" xfId="0" applyFont="1" applyFill="1" applyBorder="1"/>
    <xf numFmtId="0" fontId="37" fillId="0" borderId="3" xfId="4" applyNumberFormat="1" applyFont="1" applyBorder="1" applyAlignment="1">
      <alignment horizontal="center"/>
    </xf>
    <xf numFmtId="0" fontId="37" fillId="0" borderId="4" xfId="4" applyNumberFormat="1" applyFont="1" applyBorder="1" applyAlignment="1">
      <alignment horizontal="center"/>
    </xf>
    <xf numFmtId="0" fontId="37" fillId="0" borderId="7" xfId="4" applyNumberFormat="1" applyFont="1" applyBorder="1" applyAlignment="1">
      <alignment horizontal="center"/>
    </xf>
    <xf numFmtId="0" fontId="37" fillId="0" borderId="8" xfId="8" applyFont="1" applyFill="1" applyBorder="1" applyAlignment="1">
      <alignment horizontal="left"/>
    </xf>
    <xf numFmtId="0" fontId="37" fillId="0" borderId="8" xfId="8" applyFont="1" applyFill="1" applyBorder="1"/>
    <xf numFmtId="168" fontId="37" fillId="0" borderId="8" xfId="4" applyNumberFormat="1" applyFont="1" applyFill="1" applyBorder="1"/>
    <xf numFmtId="0" fontId="5" fillId="0" borderId="12" xfId="0" applyFont="1" applyFill="1" applyBorder="1" applyAlignment="1">
      <alignment horizontal="left"/>
    </xf>
    <xf numFmtId="0" fontId="8" fillId="0" borderId="12" xfId="0" applyFont="1" applyFill="1" applyBorder="1"/>
    <xf numFmtId="168" fontId="8" fillId="0" borderId="12" xfId="4" applyNumberFormat="1" applyFont="1" applyFill="1" applyBorder="1"/>
    <xf numFmtId="0" fontId="5" fillId="0" borderId="8" xfId="0" quotePrefix="1" applyFont="1" applyFill="1" applyBorder="1" applyAlignment="1">
      <alignment horizontal="left"/>
    </xf>
    <xf numFmtId="0" fontId="37" fillId="0" borderId="8" xfId="0" applyFont="1" applyFill="1" applyBorder="1"/>
    <xf numFmtId="168" fontId="37" fillId="25" borderId="5" xfId="4" applyNumberFormat="1" applyFont="1" applyFill="1" applyBorder="1" applyAlignment="1">
      <alignment horizontal="center"/>
    </xf>
    <xf numFmtId="168" fontId="37" fillId="25" borderId="8" xfId="4" applyNumberFormat="1" applyFont="1" applyFill="1" applyBorder="1"/>
    <xf numFmtId="168" fontId="37" fillId="25" borderId="5" xfId="4" applyNumberFormat="1" applyFont="1" applyFill="1" applyBorder="1"/>
    <xf numFmtId="168" fontId="37" fillId="25" borderId="7" xfId="4" applyNumberFormat="1" applyFont="1" applyFill="1" applyBorder="1" applyAlignment="1">
      <alignment horizontal="center"/>
    </xf>
    <xf numFmtId="168" fontId="37" fillId="25" borderId="12" xfId="4" applyNumberFormat="1" applyFont="1" applyFill="1" applyBorder="1"/>
    <xf numFmtId="168" fontId="48" fillId="0" borderId="5" xfId="4" applyNumberFormat="1" applyFont="1" applyFill="1" applyBorder="1"/>
    <xf numFmtId="168" fontId="37" fillId="25" borderId="8" xfId="4" applyNumberFormat="1" applyFont="1" applyFill="1" applyBorder="1"/>
    <xf numFmtId="168" fontId="37" fillId="25" borderId="5" xfId="4" applyNumberFormat="1" applyFont="1" applyFill="1" applyBorder="1"/>
    <xf numFmtId="168" fontId="37" fillId="25" borderId="7" xfId="4" applyNumberFormat="1" applyFont="1" applyFill="1" applyBorder="1" applyAlignment="1">
      <alignment horizontal="center"/>
    </xf>
    <xf numFmtId="168" fontId="37" fillId="25" borderId="12" xfId="4" applyNumberFormat="1" applyFont="1" applyFill="1" applyBorder="1"/>
    <xf numFmtId="3" fontId="7" fillId="0" borderId="5" xfId="0" applyNumberFormat="1" applyFont="1" applyBorder="1"/>
    <xf numFmtId="0" fontId="1" fillId="0" borderId="0" xfId="0" quotePrefix="1" applyFont="1" applyAlignment="1">
      <alignment horizontal="center"/>
    </xf>
    <xf numFmtId="3" fontId="7" fillId="0" borderId="3" xfId="0" applyNumberFormat="1" applyFont="1" applyBorder="1"/>
    <xf numFmtId="3" fontId="5" fillId="4" borderId="5" xfId="0" applyNumberFormat="1" applyFont="1" applyFill="1" applyBorder="1"/>
    <xf numFmtId="3" fontId="5" fillId="0" borderId="5" xfId="0" applyNumberFormat="1" applyFont="1" applyBorder="1"/>
    <xf numFmtId="0" fontId="5" fillId="0" borderId="5" xfId="0" applyFont="1" applyBorder="1"/>
    <xf numFmtId="168" fontId="37" fillId="22" borderId="5" xfId="4" applyNumberFormat="1" applyFont="1" applyFill="1" applyBorder="1" applyAlignment="1">
      <alignment horizontal="center"/>
    </xf>
    <xf numFmtId="168" fontId="37" fillId="22" borderId="5" xfId="4" applyNumberFormat="1" applyFont="1" applyFill="1" applyBorder="1"/>
    <xf numFmtId="168" fontId="8" fillId="0" borderId="5" xfId="4" applyNumberFormat="1" applyFont="1" applyFill="1" applyBorder="1"/>
    <xf numFmtId="168" fontId="37" fillId="0" borderId="8" xfId="4" applyNumberFormat="1" applyFont="1" applyFill="1" applyBorder="1"/>
    <xf numFmtId="168" fontId="37" fillId="25" borderId="5" xfId="4" applyNumberFormat="1" applyFont="1" applyFill="1" applyBorder="1" applyAlignment="1">
      <alignment horizontal="center"/>
    </xf>
    <xf numFmtId="168" fontId="37" fillId="25" borderId="5" xfId="4" applyNumberFormat="1" applyFont="1" applyFill="1" applyBorder="1"/>
    <xf numFmtId="168" fontId="37" fillId="25" borderId="7" xfId="4" applyNumberFormat="1" applyFont="1" applyFill="1" applyBorder="1" applyAlignment="1">
      <alignment horizontal="center"/>
    </xf>
    <xf numFmtId="168" fontId="37" fillId="25" borderId="12" xfId="4" applyNumberFormat="1" applyFont="1" applyFill="1" applyBorder="1"/>
    <xf numFmtId="168" fontId="5" fillId="0" borderId="5" xfId="4" applyNumberFormat="1" applyFont="1" applyFill="1" applyBorder="1" applyAlignment="1">
      <alignment horizontal="center"/>
    </xf>
    <xf numFmtId="168" fontId="47" fillId="0" borderId="5" xfId="4" applyNumberFormat="1" applyFont="1" applyFill="1" applyBorder="1"/>
    <xf numFmtId="168" fontId="5" fillId="0" borderId="5" xfId="4" applyNumberFormat="1" applyFont="1" applyBorder="1"/>
    <xf numFmtId="168" fontId="47" fillId="22" borderId="5" xfId="4" applyNumberFormat="1" applyFont="1" applyFill="1" applyBorder="1"/>
    <xf numFmtId="168" fontId="47" fillId="0" borderId="5" xfId="4" applyNumberFormat="1" applyFont="1" applyFill="1" applyBorder="1" applyAlignment="1">
      <alignment horizontal="center"/>
    </xf>
    <xf numFmtId="168" fontId="36" fillId="0" borderId="0" xfId="2" applyNumberFormat="1" applyFont="1"/>
    <xf numFmtId="168" fontId="47" fillId="25" borderId="8" xfId="4" applyNumberFormat="1" applyFont="1" applyFill="1" applyBorder="1"/>
    <xf numFmtId="168" fontId="47" fillId="25" borderId="5" xfId="4" applyNumberFormat="1" applyFont="1" applyFill="1" applyBorder="1"/>
    <xf numFmtId="168" fontId="47" fillId="25" borderId="12" xfId="4" applyNumberFormat="1" applyFont="1" applyFill="1" applyBorder="1"/>
    <xf numFmtId="0" fontId="37" fillId="0" borderId="5" xfId="0" applyFont="1" applyFill="1" applyBorder="1"/>
    <xf numFmtId="168" fontId="8" fillId="4" borderId="5" xfId="4" applyNumberFormat="1" applyFont="1" applyFill="1" applyBorder="1"/>
    <xf numFmtId="168" fontId="0" fillId="0" borderId="0" xfId="0" applyNumberFormat="1" applyFill="1"/>
    <xf numFmtId="168" fontId="1" fillId="0" borderId="0" xfId="0" applyNumberFormat="1" applyFont="1" applyFill="1"/>
    <xf numFmtId="3" fontId="8" fillId="24" borderId="5" xfId="0" applyNumberFormat="1" applyFont="1" applyFill="1" applyBorder="1"/>
    <xf numFmtId="168" fontId="29" fillId="4" borderId="5" xfId="4" applyNumberFormat="1" applyFont="1" applyFill="1" applyBorder="1"/>
    <xf numFmtId="168" fontId="7" fillId="0" borderId="14" xfId="4" quotePrefix="1" applyNumberFormat="1" applyFont="1" applyFill="1" applyBorder="1" applyAlignment="1">
      <alignment horizontal="left"/>
    </xf>
    <xf numFmtId="168" fontId="7" fillId="0" borderId="0" xfId="4" quotePrefix="1" applyNumberFormat="1" applyFont="1" applyBorder="1" applyAlignment="1">
      <alignment horizontal="left"/>
    </xf>
    <xf numFmtId="3" fontId="0" fillId="0" borderId="0" xfId="0" applyNumberFormat="1"/>
    <xf numFmtId="168" fontId="37" fillId="4" borderId="5" xfId="4" applyNumberFormat="1" applyFont="1" applyFill="1" applyBorder="1"/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8" fontId="37" fillId="0" borderId="0" xfId="4" applyNumberFormat="1" applyFont="1" applyFill="1" applyBorder="1" applyAlignment="1">
      <alignment horizontal="center"/>
    </xf>
    <xf numFmtId="168" fontId="37" fillId="0" borderId="5" xfId="4" applyNumberFormat="1" applyFont="1" applyFill="1" applyBorder="1" applyAlignment="1">
      <alignment horizontal="center"/>
    </xf>
    <xf numFmtId="168" fontId="37" fillId="0" borderId="3" xfId="4" applyNumberFormat="1" applyFont="1" applyFill="1" applyBorder="1" applyAlignment="1">
      <alignment horizontal="center" vertical="top"/>
    </xf>
    <xf numFmtId="168" fontId="37" fillId="0" borderId="4" xfId="4" applyNumberFormat="1" applyFont="1" applyFill="1" applyBorder="1" applyAlignment="1">
      <alignment horizontal="center" vertical="top"/>
    </xf>
    <xf numFmtId="168" fontId="37" fillId="0" borderId="7" xfId="4" applyNumberFormat="1" applyFont="1" applyFill="1" applyBorder="1" applyAlignment="1">
      <alignment horizontal="center" vertical="top"/>
    </xf>
    <xf numFmtId="0" fontId="37" fillId="0" borderId="3" xfId="2" applyFont="1" applyBorder="1" applyAlignment="1">
      <alignment horizontal="center"/>
    </xf>
    <xf numFmtId="0" fontId="37" fillId="0" borderId="4" xfId="2" applyFont="1" applyBorder="1" applyAlignment="1">
      <alignment horizontal="center"/>
    </xf>
    <xf numFmtId="0" fontId="37" fillId="0" borderId="7" xfId="2" applyFont="1" applyBorder="1" applyAlignment="1">
      <alignment horizontal="center"/>
    </xf>
    <xf numFmtId="0" fontId="8" fillId="0" borderId="0" xfId="2" applyFont="1" applyFill="1" applyAlignment="1">
      <alignment horizontal="center"/>
    </xf>
    <xf numFmtId="168" fontId="37" fillId="0" borderId="3" xfId="4" applyNumberFormat="1" applyFont="1" applyBorder="1" applyAlignment="1">
      <alignment horizontal="center"/>
    </xf>
    <xf numFmtId="168" fontId="37" fillId="0" borderId="4" xfId="4" applyNumberFormat="1" applyFont="1" applyBorder="1" applyAlignment="1">
      <alignment horizontal="center"/>
    </xf>
    <xf numFmtId="168" fontId="37" fillId="0" borderId="7" xfId="4" applyNumberFormat="1" applyFont="1" applyBorder="1" applyAlignment="1">
      <alignment horizontal="center"/>
    </xf>
    <xf numFmtId="0" fontId="45" fillId="0" borderId="0" xfId="0" applyFont="1" applyAlignment="1">
      <alignment horizontal="center"/>
    </xf>
    <xf numFmtId="0" fontId="42" fillId="16" borderId="8" xfId="0" applyFont="1" applyFill="1" applyBorder="1" applyAlignment="1">
      <alignment horizontal="center"/>
    </xf>
    <xf numFmtId="0" fontId="42" fillId="16" borderId="12" xfId="0" applyFont="1" applyFill="1" applyBorder="1" applyAlignment="1">
      <alignment horizontal="center"/>
    </xf>
    <xf numFmtId="168" fontId="27" fillId="0" borderId="1" xfId="4" applyNumberFormat="1" applyFont="1" applyBorder="1" applyAlignment="1">
      <alignment horizontal="center"/>
    </xf>
    <xf numFmtId="0" fontId="25" fillId="5" borderId="30" xfId="0" applyFont="1" applyFill="1" applyBorder="1" applyAlignment="1">
      <alignment horizontal="center"/>
    </xf>
    <xf numFmtId="0" fontId="25" fillId="5" borderId="31" xfId="0" applyFont="1" applyFill="1" applyBorder="1" applyAlignment="1">
      <alignment horizontal="center"/>
    </xf>
    <xf numFmtId="0" fontId="21" fillId="0" borderId="0" xfId="0" applyFont="1" applyAlignment="1">
      <alignment horizont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 wrapText="1"/>
    </xf>
    <xf numFmtId="0" fontId="23" fillId="0" borderId="22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 wrapText="1"/>
    </xf>
    <xf numFmtId="3" fontId="7" fillId="0" borderId="3" xfId="0" applyNumberFormat="1" applyFont="1" applyBorder="1" applyAlignment="1"/>
    <xf numFmtId="0" fontId="7" fillId="0" borderId="7" xfId="0" applyFont="1" applyBorder="1" applyAlignment="1"/>
    <xf numFmtId="0" fontId="47" fillId="0" borderId="0" xfId="0" applyFont="1" applyBorder="1" applyAlignment="1">
      <alignment horizontal="center"/>
    </xf>
    <xf numFmtId="3" fontId="7" fillId="0" borderId="0" xfId="0" applyNumberFormat="1" applyFont="1" applyBorder="1" applyAlignment="1"/>
    <xf numFmtId="0" fontId="7" fillId="0" borderId="0" xfId="0" applyFont="1" applyBorder="1" applyAlignment="1"/>
    <xf numFmtId="3" fontId="47" fillId="0" borderId="0" xfId="0" applyNumberFormat="1" applyFont="1" applyBorder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7" fillId="23" borderId="33" xfId="0" applyFont="1" applyFill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58" xfId="0" applyFont="1" applyBorder="1" applyAlignment="1">
      <alignment horizontal="center" vertical="center" wrapText="1"/>
    </xf>
    <xf numFmtId="3" fontId="5" fillId="23" borderId="33" xfId="0" applyNumberFormat="1" applyFont="1" applyFill="1" applyBorder="1" applyAlignment="1">
      <alignment horizontal="right" vertical="center"/>
    </xf>
    <xf numFmtId="3" fontId="5" fillId="0" borderId="34" xfId="0" applyNumberFormat="1" applyFont="1" applyBorder="1" applyAlignment="1">
      <alignment horizontal="right" vertical="center"/>
    </xf>
    <xf numFmtId="3" fontId="5" fillId="0" borderId="58" xfId="0" applyNumberFormat="1" applyFont="1" applyBorder="1" applyAlignment="1">
      <alignment horizontal="right" vertical="center"/>
    </xf>
    <xf numFmtId="0" fontId="20" fillId="0" borderId="0" xfId="0" applyFont="1" applyAlignment="1">
      <alignment horizontal="center" vertical="center"/>
    </xf>
    <xf numFmtId="167" fontId="17" fillId="7" borderId="3" xfId="0" applyNumberFormat="1" applyFont="1" applyFill="1" applyBorder="1" applyAlignment="1">
      <alignment horizontal="center" vertical="center"/>
    </xf>
    <xf numFmtId="167" fontId="17" fillId="7" borderId="4" xfId="0" applyNumberFormat="1" applyFont="1" applyFill="1" applyBorder="1" applyAlignment="1">
      <alignment horizontal="center" vertical="center"/>
    </xf>
    <xf numFmtId="0" fontId="6" fillId="5" borderId="38" xfId="0" applyFont="1" applyFill="1" applyBorder="1" applyAlignment="1">
      <alignment horizontal="center" wrapText="1"/>
    </xf>
    <xf numFmtId="0" fontId="6" fillId="5" borderId="19" xfId="0" applyFont="1" applyFill="1" applyBorder="1" applyAlignment="1">
      <alignment horizontal="center" wrapText="1"/>
    </xf>
    <xf numFmtId="0" fontId="5" fillId="5" borderId="35" xfId="0" applyFont="1" applyFill="1" applyBorder="1" applyAlignment="1">
      <alignment horizontal="center"/>
    </xf>
    <xf numFmtId="0" fontId="5" fillId="5" borderId="4" xfId="0" applyFont="1" applyFill="1" applyBorder="1" applyAlignment="1">
      <alignment horizontal="center"/>
    </xf>
    <xf numFmtId="0" fontId="5" fillId="5" borderId="7" xfId="0" applyFont="1" applyFill="1" applyBorder="1" applyAlignment="1">
      <alignment horizontal="center"/>
    </xf>
    <xf numFmtId="0" fontId="5" fillId="5" borderId="26" xfId="0" applyFont="1" applyFill="1" applyBorder="1" applyAlignment="1">
      <alignment horizontal="center"/>
    </xf>
    <xf numFmtId="0" fontId="5" fillId="5" borderId="5" xfId="0" applyFont="1" applyFill="1" applyBorder="1" applyAlignment="1">
      <alignment horizontal="center"/>
    </xf>
    <xf numFmtId="0" fontId="6" fillId="5" borderId="21" xfId="0" applyFont="1" applyFill="1" applyBorder="1" applyAlignment="1">
      <alignment horizontal="center" vertical="center" wrapText="1"/>
    </xf>
    <xf numFmtId="0" fontId="6" fillId="5" borderId="22" xfId="0" applyFont="1" applyFill="1" applyBorder="1" applyAlignment="1">
      <alignment horizontal="center" vertical="center" wrapText="1"/>
    </xf>
    <xf numFmtId="0" fontId="5" fillId="5" borderId="41" xfId="0" applyFont="1" applyFill="1" applyBorder="1" applyAlignment="1">
      <alignment horizontal="center" wrapText="1"/>
    </xf>
    <xf numFmtId="0" fontId="5" fillId="5" borderId="40" xfId="0" applyFont="1" applyFill="1" applyBorder="1" applyAlignment="1">
      <alignment horizontal="center" wrapText="1"/>
    </xf>
    <xf numFmtId="0" fontId="5" fillId="5" borderId="39" xfId="0" applyFont="1" applyFill="1" applyBorder="1" applyAlignment="1">
      <alignment horizontal="center" wrapText="1"/>
    </xf>
    <xf numFmtId="0" fontId="7" fillId="4" borderId="50" xfId="0" applyFont="1" applyFill="1" applyBorder="1" applyAlignment="1">
      <alignment horizontal="center" wrapText="1"/>
    </xf>
    <xf numFmtId="0" fontId="7" fillId="4" borderId="49" xfId="0" applyFont="1" applyFill="1" applyBorder="1" applyAlignment="1">
      <alignment horizontal="center" wrapText="1"/>
    </xf>
    <xf numFmtId="0" fontId="7" fillId="4" borderId="48" xfId="0" applyFont="1" applyFill="1" applyBorder="1" applyAlignment="1">
      <alignment horizontal="center" wrapText="1"/>
    </xf>
    <xf numFmtId="0" fontId="4" fillId="4" borderId="35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center" wrapText="1"/>
    </xf>
    <xf numFmtId="0" fontId="7" fillId="4" borderId="35" xfId="0" applyFont="1" applyFill="1" applyBorder="1" applyAlignment="1">
      <alignment horizontal="center"/>
    </xf>
    <xf numFmtId="0" fontId="7" fillId="4" borderId="4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4" fillId="4" borderId="46" xfId="0" applyFont="1" applyFill="1" applyBorder="1" applyAlignment="1">
      <alignment horizontal="center" vertical="center" wrapText="1"/>
    </xf>
    <xf numFmtId="0" fontId="4" fillId="4" borderId="45" xfId="0" applyFont="1" applyFill="1" applyBorder="1" applyAlignment="1">
      <alignment horizontal="center" vertical="center" wrapText="1"/>
    </xf>
    <xf numFmtId="0" fontId="4" fillId="4" borderId="44" xfId="0" applyFont="1" applyFill="1" applyBorder="1" applyAlignment="1">
      <alignment horizontal="center" vertical="center" wrapText="1"/>
    </xf>
    <xf numFmtId="0" fontId="5" fillId="4" borderId="41" xfId="0" applyFont="1" applyFill="1" applyBorder="1" applyAlignment="1">
      <alignment horizontal="center" wrapText="1"/>
    </xf>
    <xf numFmtId="0" fontId="5" fillId="4" borderId="40" xfId="0" applyFont="1" applyFill="1" applyBorder="1" applyAlignment="1">
      <alignment horizontal="center" wrapText="1"/>
    </xf>
    <xf numFmtId="0" fontId="5" fillId="4" borderId="39" xfId="0" applyFont="1" applyFill="1" applyBorder="1" applyAlignment="1">
      <alignment horizont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7" fillId="0" borderId="5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7" xfId="0" applyFont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0" fontId="5" fillId="0" borderId="41" xfId="0" applyFont="1" applyFill="1" applyBorder="1" applyAlignment="1">
      <alignment horizontal="center" wrapText="1"/>
    </xf>
    <xf numFmtId="0" fontId="5" fillId="0" borderId="40" xfId="0" applyFont="1" applyFill="1" applyBorder="1" applyAlignment="1">
      <alignment horizontal="center" wrapText="1"/>
    </xf>
    <xf numFmtId="0" fontId="5" fillId="0" borderId="39" xfId="0" applyFont="1" applyFill="1" applyBorder="1" applyAlignment="1">
      <alignment horizontal="center" wrapText="1"/>
    </xf>
    <xf numFmtId="0" fontId="7" fillId="0" borderId="50" xfId="0" applyFont="1" applyFill="1" applyBorder="1" applyAlignment="1">
      <alignment horizontal="center" wrapText="1"/>
    </xf>
    <xf numFmtId="0" fontId="7" fillId="0" borderId="49" xfId="0" applyFont="1" applyFill="1" applyBorder="1" applyAlignment="1">
      <alignment horizontal="center" wrapText="1"/>
    </xf>
    <xf numFmtId="0" fontId="7" fillId="0" borderId="48" xfId="0" applyFont="1" applyFill="1" applyBorder="1" applyAlignment="1">
      <alignment horizontal="center" wrapText="1"/>
    </xf>
    <xf numFmtId="0" fontId="7" fillId="0" borderId="35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4" fillId="0" borderId="46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5" fillId="5" borderId="1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26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5" fillId="0" borderId="46" xfId="0" applyFont="1" applyFill="1" applyBorder="1" applyAlignment="1">
      <alignment horizontal="center" wrapText="1"/>
    </xf>
    <xf numFmtId="0" fontId="5" fillId="0" borderId="45" xfId="0" applyFont="1" applyFill="1" applyBorder="1" applyAlignment="1">
      <alignment horizontal="center" wrapText="1"/>
    </xf>
    <xf numFmtId="0" fontId="7" fillId="0" borderId="24" xfId="0" applyFont="1" applyFill="1" applyBorder="1" applyAlignment="1">
      <alignment horizontal="center"/>
    </xf>
    <xf numFmtId="0" fontId="7" fillId="0" borderId="12" xfId="0" applyFont="1" applyFill="1" applyBorder="1" applyAlignment="1">
      <alignment horizontal="center"/>
    </xf>
  </cellXfs>
  <cellStyles count="10">
    <cellStyle name="Bevitel" xfId="6" builtinId="20"/>
    <cellStyle name="Ezres" xfId="4" builtinId="3"/>
    <cellStyle name="Ezres 2" xfId="1"/>
    <cellStyle name="Ezres 3" xfId="7"/>
    <cellStyle name="Ezres 3 2" xfId="9"/>
    <cellStyle name="Normál" xfId="0" builtinId="0"/>
    <cellStyle name="Normál 2" xfId="2"/>
    <cellStyle name="Normál 2 2" xfId="8"/>
    <cellStyle name="Pénznem" xfId="5" builtinId="4"/>
    <cellStyle name="Százalék 2" xfId="3"/>
  </cellStyles>
  <dxfs count="0"/>
  <tableStyles count="0" defaultTableStyle="TableStyleMedium2" defaultPivotStyle="PivotStyleLight16"/>
  <colors>
    <mruColors>
      <color rgb="FFFBCC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dreasz\AppData\Local\Temp\ParkolasiKFT_&#252;terv_&#246;nkormanyzatnak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ve%20Your%20say%20Desk2\Google%20Drive\GECKOSTAT\&#252;zletizterv_parkolas\parkolas_uzletiterv_20151109.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dreasz\AppData\Local\Temp\parkolas_uzletiterv_20151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6 havi ktgterv"/>
      <sheetName val="2016 ktg részletezés"/>
      <sheetName val="tényleges kiadások 2015"/>
      <sheetName val="2016 bérköltség"/>
      <sheetName val="2016 bér terv"/>
      <sheetName val="Rezsiköltségek"/>
      <sheetName val="Munka1"/>
    </sheetNames>
    <sheetDataSet>
      <sheetData sheetId="0" refreshError="1"/>
      <sheetData sheetId="1" refreshError="1"/>
      <sheetData sheetId="2" refreshError="1"/>
      <sheetData sheetId="3" refreshError="1">
        <row r="5">
          <cell r="H5">
            <v>12810000</v>
          </cell>
          <cell r="I5">
            <v>3843000</v>
          </cell>
          <cell r="J5">
            <v>1925000.0000000002</v>
          </cell>
        </row>
      </sheetData>
      <sheetData sheetId="4" refreshError="1"/>
      <sheetData sheetId="5" refreshError="1">
        <row r="15">
          <cell r="E15">
            <v>311823</v>
          </cell>
        </row>
      </sheetData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ényleges kiadások 2015"/>
      <sheetName val="ktgterv 2016 parkolasi társaság"/>
      <sheetName val="feltetelezesek"/>
      <sheetName val="zónák"/>
      <sheetName val="egyszeri kiadások"/>
      <sheetName val="éves költségek"/>
      <sheetName val="havi kiadások 2015"/>
      <sheetName val="havi kiadások 2016"/>
      <sheetName val="havi kiadások"/>
      <sheetName val="bér"/>
      <sheetName val="létszám "/>
      <sheetName val="létszám új"/>
      <sheetName val="bérköltség"/>
      <sheetName val="létszám 2015"/>
      <sheetName val="Pü-i_megtérülés"/>
      <sheetName val="bevétel 2015"/>
      <sheetName val="bevétel 2016"/>
      <sheetName val="bevétel"/>
      <sheetName val="megtérülés"/>
      <sheetName val="Munka2"/>
      <sheetName val="Pótdíj bevételek"/>
    </sheetNames>
    <sheetDataSet>
      <sheetData sheetId="0"/>
      <sheetData sheetId="1"/>
      <sheetData sheetId="2"/>
      <sheetData sheetId="3"/>
      <sheetData sheetId="4">
        <row r="39">
          <cell r="K39">
            <v>7704400</v>
          </cell>
        </row>
        <row r="40">
          <cell r="K40">
            <v>1960000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ényleges kiadások 2015"/>
      <sheetName val="ktgterv 2016 parkolasi társaság"/>
      <sheetName val="feltetelezesek"/>
      <sheetName val="zónák"/>
      <sheetName val="egyszeri kiadások"/>
      <sheetName val="éves költségek"/>
      <sheetName val="havi kiadások 2015"/>
      <sheetName val="havi kiadások 2016"/>
      <sheetName val="havi kiadások"/>
      <sheetName val="bér"/>
      <sheetName val="létszám "/>
      <sheetName val="létszám új"/>
      <sheetName val="bérköltség"/>
      <sheetName val="létszám 2015"/>
      <sheetName val="Pü-i_megtérülés"/>
      <sheetName val="bevétel 2015"/>
      <sheetName val="bevétel 2016"/>
      <sheetName val="bevétel"/>
      <sheetName val="megtérülés"/>
      <sheetName val="Munka2"/>
      <sheetName val="Pótdíj bevétele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34">
          <cell r="F34">
            <v>56912864.579999998</v>
          </cell>
        </row>
        <row r="43">
          <cell r="G43">
            <v>62062055.404799998</v>
          </cell>
          <cell r="H43">
            <v>13331820.5856</v>
          </cell>
          <cell r="I43">
            <v>99213548.544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V146"/>
  <sheetViews>
    <sheetView zoomScaleNormal="100" workbookViewId="0">
      <pane xSplit="3" ySplit="4" topLeftCell="P35" activePane="bottomRight" state="frozen"/>
      <selection pane="topRight" activeCell="G1" sqref="G1"/>
      <selection pane="bottomLeft" activeCell="A5" sqref="A5"/>
      <selection pane="bottomRight" activeCell="P35" sqref="P35"/>
    </sheetView>
  </sheetViews>
  <sheetFormatPr defaultRowHeight="18"/>
  <cols>
    <col min="1" max="1" width="0.85546875" style="278" customWidth="1"/>
    <col min="2" max="2" width="11.42578125" style="278" customWidth="1"/>
    <col min="3" max="3" width="61.42578125" style="66" bestFit="1" customWidth="1"/>
    <col min="4" max="9" width="13.42578125" style="66" customWidth="1"/>
    <col min="10" max="10" width="15" style="66" customWidth="1"/>
    <col min="11" max="15" width="13.42578125" style="66" customWidth="1"/>
    <col min="16" max="16" width="17" style="67" bestFit="1" customWidth="1"/>
    <col min="17" max="17" width="13.28515625" style="66" bestFit="1" customWidth="1"/>
    <col min="18" max="18" width="13.7109375" style="66" customWidth="1"/>
    <col min="19" max="19" width="23.85546875" style="278" bestFit="1" customWidth="1"/>
    <col min="20" max="20" width="9.85546875" style="278" bestFit="1" customWidth="1"/>
    <col min="21" max="21" width="19.42578125" style="278" bestFit="1" customWidth="1"/>
    <col min="22" max="22" width="10.28515625" style="278" bestFit="1" customWidth="1"/>
    <col min="23" max="16384" width="9.140625" style="278"/>
  </cols>
  <sheetData>
    <row r="2" spans="1:19" ht="15" customHeight="1">
      <c r="C2" s="555" t="s">
        <v>100</v>
      </c>
      <c r="D2" s="555"/>
      <c r="E2" s="555"/>
      <c r="F2" s="555"/>
      <c r="G2" s="555"/>
      <c r="H2" s="555"/>
      <c r="I2" s="555"/>
      <c r="J2" s="555"/>
      <c r="K2" s="555"/>
      <c r="L2" s="555"/>
      <c r="M2" s="555"/>
      <c r="N2" s="555"/>
      <c r="O2" s="555"/>
      <c r="P2" s="555"/>
      <c r="Q2" s="555"/>
      <c r="R2" s="555"/>
    </row>
    <row r="3" spans="1:19" ht="15" customHeight="1">
      <c r="C3" s="556"/>
      <c r="D3" s="556"/>
      <c r="E3" s="556"/>
      <c r="F3" s="556"/>
      <c r="G3" s="556"/>
      <c r="H3" s="556"/>
      <c r="I3" s="556"/>
      <c r="J3" s="556"/>
      <c r="K3" s="556"/>
      <c r="L3" s="556"/>
      <c r="M3" s="556"/>
      <c r="N3" s="556"/>
      <c r="O3" s="556"/>
      <c r="P3" s="556"/>
      <c r="Q3" s="556"/>
      <c r="R3" s="556"/>
    </row>
    <row r="4" spans="1:19" s="1" customFormat="1" ht="15">
      <c r="B4" s="1" t="s">
        <v>1</v>
      </c>
      <c r="C4" s="2" t="s">
        <v>2</v>
      </c>
      <c r="D4" s="4" t="s">
        <v>6</v>
      </c>
      <c r="E4" s="4" t="s">
        <v>7</v>
      </c>
      <c r="F4" s="4" t="s">
        <v>8</v>
      </c>
      <c r="G4" s="4" t="s">
        <v>9</v>
      </c>
      <c r="H4" s="4" t="s">
        <v>10</v>
      </c>
      <c r="I4" s="4" t="s">
        <v>11</v>
      </c>
      <c r="J4" s="4" t="s">
        <v>12</v>
      </c>
      <c r="K4" s="4" t="s">
        <v>13</v>
      </c>
      <c r="L4" s="4" t="s">
        <v>14</v>
      </c>
      <c r="M4" s="4" t="s">
        <v>15</v>
      </c>
      <c r="N4" s="4" t="s">
        <v>16</v>
      </c>
      <c r="O4" s="4" t="s">
        <v>17</v>
      </c>
      <c r="P4" s="5" t="s">
        <v>18</v>
      </c>
      <c r="Q4" s="5" t="s">
        <v>19</v>
      </c>
      <c r="R4" s="5" t="s">
        <v>20</v>
      </c>
    </row>
    <row r="5" spans="1:19" s="1" customFormat="1" ht="15">
      <c r="B5" s="278"/>
      <c r="C5" s="6"/>
      <c r="D5" s="8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</row>
    <row r="6" spans="1:19" s="17" customFormat="1" ht="15">
      <c r="A6" s="17">
        <v>1101</v>
      </c>
      <c r="B6" s="10">
        <v>1</v>
      </c>
      <c r="C6" s="11" t="s">
        <v>21</v>
      </c>
      <c r="D6" s="14">
        <f>SUM(D7:D15)</f>
        <v>21482000</v>
      </c>
      <c r="E6" s="14">
        <f t="shared" ref="E6:O6" si="0">SUM(E7:E15)</f>
        <v>21482000</v>
      </c>
      <c r="F6" s="14">
        <f t="shared" si="0"/>
        <v>23464500</v>
      </c>
      <c r="G6" s="14">
        <f t="shared" si="0"/>
        <v>21440500</v>
      </c>
      <c r="H6" s="14">
        <f t="shared" si="0"/>
        <v>21440500</v>
      </c>
      <c r="I6" s="14">
        <f t="shared" si="0"/>
        <v>23243000</v>
      </c>
      <c r="J6" s="14">
        <f t="shared" si="0"/>
        <v>21460500</v>
      </c>
      <c r="K6" s="14">
        <f t="shared" si="0"/>
        <v>21460500</v>
      </c>
      <c r="L6" s="14">
        <f t="shared" si="0"/>
        <v>23423000</v>
      </c>
      <c r="M6" s="14">
        <f t="shared" si="0"/>
        <v>21440500</v>
      </c>
      <c r="N6" s="14">
        <f t="shared" si="0"/>
        <v>21482000</v>
      </c>
      <c r="O6" s="14">
        <f t="shared" si="0"/>
        <v>40475000</v>
      </c>
      <c r="P6" s="14">
        <f>SUM(P7:P15)</f>
        <v>282294000</v>
      </c>
      <c r="Q6" s="14">
        <f>SUM(Q7:Q15)</f>
        <v>1422225</v>
      </c>
      <c r="R6" s="14">
        <f>SUM(R7:R15)</f>
        <v>283716225</v>
      </c>
      <c r="S6" s="16"/>
    </row>
    <row r="7" spans="1:19" ht="15">
      <c r="B7" s="18" t="s">
        <v>22</v>
      </c>
      <c r="C7" s="19" t="s">
        <v>23</v>
      </c>
      <c r="D7" s="21">
        <f>+bérköltség!H5</f>
        <v>14610000</v>
      </c>
      <c r="E7" s="21">
        <f>+D7</f>
        <v>14610000</v>
      </c>
      <c r="F7" s="21">
        <f t="shared" ref="F7:N7" si="1">+E7</f>
        <v>14610000</v>
      </c>
      <c r="G7" s="21">
        <f t="shared" si="1"/>
        <v>14610000</v>
      </c>
      <c r="H7" s="21">
        <f t="shared" si="1"/>
        <v>14610000</v>
      </c>
      <c r="I7" s="21">
        <f t="shared" si="1"/>
        <v>14610000</v>
      </c>
      <c r="J7" s="21">
        <f t="shared" si="1"/>
        <v>14610000</v>
      </c>
      <c r="K7" s="21">
        <f t="shared" si="1"/>
        <v>14610000</v>
      </c>
      <c r="L7" s="21">
        <f t="shared" si="1"/>
        <v>14610000</v>
      </c>
      <c r="M7" s="21">
        <f t="shared" si="1"/>
        <v>14610000</v>
      </c>
      <c r="N7" s="21">
        <f t="shared" si="1"/>
        <v>14610000</v>
      </c>
      <c r="O7" s="21">
        <f>+N7*2</f>
        <v>29220000</v>
      </c>
      <c r="P7" s="21">
        <f>SUM(D7:O7)</f>
        <v>189930000</v>
      </c>
      <c r="Q7" s="22">
        <v>0</v>
      </c>
      <c r="R7" s="21">
        <f>SUM(P7:Q7)</f>
        <v>189930000</v>
      </c>
    </row>
    <row r="8" spans="1:19" s="17" customFormat="1" ht="15">
      <c r="B8" s="18" t="s">
        <v>24</v>
      </c>
      <c r="C8" s="19" t="s">
        <v>90</v>
      </c>
      <c r="D8" s="23">
        <f>+bérköltség!I5</f>
        <v>4383000</v>
      </c>
      <c r="E8" s="21">
        <f t="shared" ref="E8:O9" si="2">+D8</f>
        <v>4383000</v>
      </c>
      <c r="F8" s="21">
        <f t="shared" si="2"/>
        <v>4383000</v>
      </c>
      <c r="G8" s="21">
        <f t="shared" si="2"/>
        <v>4383000</v>
      </c>
      <c r="H8" s="21">
        <f t="shared" si="2"/>
        <v>4383000</v>
      </c>
      <c r="I8" s="21">
        <f t="shared" si="2"/>
        <v>4383000</v>
      </c>
      <c r="J8" s="21">
        <f t="shared" si="2"/>
        <v>4383000</v>
      </c>
      <c r="K8" s="21">
        <f t="shared" si="2"/>
        <v>4383000</v>
      </c>
      <c r="L8" s="21">
        <f t="shared" si="2"/>
        <v>4383000</v>
      </c>
      <c r="M8" s="21">
        <f t="shared" si="2"/>
        <v>4383000</v>
      </c>
      <c r="N8" s="21">
        <f t="shared" si="2"/>
        <v>4383000</v>
      </c>
      <c r="O8" s="23">
        <f>+N8*2</f>
        <v>8766000</v>
      </c>
      <c r="P8" s="21">
        <f t="shared" ref="P8:P15" si="3">SUM(D8:O8)</f>
        <v>56979000</v>
      </c>
      <c r="Q8" s="22">
        <v>0</v>
      </c>
      <c r="R8" s="21">
        <f t="shared" ref="R8:R15" si="4">SUM(P8:Q8)</f>
        <v>56979000</v>
      </c>
    </row>
    <row r="9" spans="1:19" s="17" customFormat="1" ht="15">
      <c r="B9" s="18" t="s">
        <v>25</v>
      </c>
      <c r="C9" s="19" t="s">
        <v>258</v>
      </c>
      <c r="D9" s="23">
        <f>+bérköltség!J5</f>
        <v>1925000.0000000002</v>
      </c>
      <c r="E9" s="21">
        <f t="shared" si="2"/>
        <v>1925000.0000000002</v>
      </c>
      <c r="F9" s="21">
        <f t="shared" si="2"/>
        <v>1925000.0000000002</v>
      </c>
      <c r="G9" s="21">
        <f t="shared" si="2"/>
        <v>1925000.0000000002</v>
      </c>
      <c r="H9" s="21">
        <f t="shared" si="2"/>
        <v>1925000.0000000002</v>
      </c>
      <c r="I9" s="21">
        <f t="shared" si="2"/>
        <v>1925000.0000000002</v>
      </c>
      <c r="J9" s="21">
        <f t="shared" si="2"/>
        <v>1925000.0000000002</v>
      </c>
      <c r="K9" s="21">
        <f t="shared" si="2"/>
        <v>1925000.0000000002</v>
      </c>
      <c r="L9" s="21">
        <f t="shared" si="2"/>
        <v>1925000.0000000002</v>
      </c>
      <c r="M9" s="21">
        <f t="shared" si="2"/>
        <v>1925000.0000000002</v>
      </c>
      <c r="N9" s="21">
        <f t="shared" si="2"/>
        <v>1925000.0000000002</v>
      </c>
      <c r="O9" s="21">
        <f t="shared" si="2"/>
        <v>1925000.0000000002</v>
      </c>
      <c r="P9" s="21">
        <f t="shared" si="3"/>
        <v>23100000.000000004</v>
      </c>
      <c r="Q9" s="22">
        <v>0</v>
      </c>
      <c r="R9" s="21">
        <f t="shared" si="4"/>
        <v>23100000.000000004</v>
      </c>
    </row>
    <row r="10" spans="1:19" s="17" customFormat="1" ht="15">
      <c r="B10" s="18" t="s">
        <v>27</v>
      </c>
      <c r="C10" s="19" t="s">
        <v>270</v>
      </c>
      <c r="D10" s="23">
        <f>45*10500</f>
        <v>472500</v>
      </c>
      <c r="E10" s="23">
        <f t="shared" ref="E10:O10" si="5">45*10500</f>
        <v>472500</v>
      </c>
      <c r="F10" s="23">
        <f t="shared" si="5"/>
        <v>472500</v>
      </c>
      <c r="G10" s="23">
        <f t="shared" si="5"/>
        <v>472500</v>
      </c>
      <c r="H10" s="23">
        <f t="shared" si="5"/>
        <v>472500</v>
      </c>
      <c r="I10" s="23">
        <f t="shared" si="5"/>
        <v>472500</v>
      </c>
      <c r="J10" s="23">
        <f t="shared" si="5"/>
        <v>472500</v>
      </c>
      <c r="K10" s="23">
        <f t="shared" si="5"/>
        <v>472500</v>
      </c>
      <c r="L10" s="23">
        <f t="shared" si="5"/>
        <v>472500</v>
      </c>
      <c r="M10" s="23">
        <f t="shared" si="5"/>
        <v>472500</v>
      </c>
      <c r="N10" s="23">
        <f t="shared" si="5"/>
        <v>472500</v>
      </c>
      <c r="O10" s="23">
        <f t="shared" si="5"/>
        <v>472500</v>
      </c>
      <c r="P10" s="21">
        <f t="shared" si="3"/>
        <v>5670000</v>
      </c>
      <c r="Q10" s="22">
        <v>0</v>
      </c>
      <c r="R10" s="21">
        <f t="shared" si="4"/>
        <v>5670000</v>
      </c>
    </row>
    <row r="11" spans="1:19" ht="15">
      <c r="B11" s="18" t="s">
        <v>29</v>
      </c>
      <c r="C11" s="19" t="s">
        <v>28</v>
      </c>
      <c r="D11" s="20"/>
      <c r="E11" s="20"/>
      <c r="F11" s="20">
        <v>120000</v>
      </c>
      <c r="G11" s="20"/>
      <c r="H11" s="20"/>
      <c r="I11" s="20">
        <v>120000</v>
      </c>
      <c r="J11" s="20"/>
      <c r="K11" s="20"/>
      <c r="L11" s="20">
        <v>120000</v>
      </c>
      <c r="M11" s="20"/>
      <c r="N11" s="20"/>
      <c r="O11" s="20"/>
      <c r="P11" s="21">
        <f t="shared" si="3"/>
        <v>360000</v>
      </c>
      <c r="Q11" s="22">
        <v>0</v>
      </c>
      <c r="R11" s="21">
        <f t="shared" si="4"/>
        <v>360000</v>
      </c>
    </row>
    <row r="12" spans="1:19" ht="15">
      <c r="B12" s="18" t="s">
        <v>31</v>
      </c>
      <c r="C12" s="19" t="s">
        <v>85</v>
      </c>
      <c r="D12" s="20"/>
      <c r="E12" s="20"/>
      <c r="F12" s="20">
        <f>15*17500</f>
        <v>262500</v>
      </c>
      <c r="G12" s="20"/>
      <c r="H12" s="20"/>
      <c r="I12" s="20">
        <f>15*17500</f>
        <v>262500</v>
      </c>
      <c r="J12" s="20"/>
      <c r="K12" s="20"/>
      <c r="L12" s="20">
        <f>15*17500</f>
        <v>262500</v>
      </c>
      <c r="M12" s="20"/>
      <c r="N12" s="20"/>
      <c r="O12" s="20"/>
      <c r="P12" s="21">
        <f t="shared" si="3"/>
        <v>787500</v>
      </c>
      <c r="Q12" s="22">
        <v>0</v>
      </c>
      <c r="R12" s="21">
        <f t="shared" si="4"/>
        <v>787500</v>
      </c>
    </row>
    <row r="13" spans="1:19" ht="15">
      <c r="B13" s="18" t="s">
        <v>33</v>
      </c>
      <c r="C13" s="19" t="s">
        <v>32</v>
      </c>
      <c r="D13" s="20"/>
      <c r="E13" s="20"/>
      <c r="F13" s="20"/>
      <c r="G13" s="20"/>
      <c r="H13" s="20"/>
      <c r="I13" s="20"/>
      <c r="J13" s="20"/>
      <c r="K13" s="20"/>
      <c r="L13" s="20">
        <v>200000</v>
      </c>
      <c r="M13" s="20"/>
      <c r="N13" s="20"/>
      <c r="O13" s="20"/>
      <c r="P13" s="21">
        <f t="shared" si="3"/>
        <v>200000</v>
      </c>
      <c r="Q13" s="22">
        <v>0</v>
      </c>
      <c r="R13" s="21">
        <f t="shared" si="4"/>
        <v>200000</v>
      </c>
      <c r="S13" s="24"/>
    </row>
    <row r="14" spans="1:19" ht="15">
      <c r="B14" s="18" t="s">
        <v>35</v>
      </c>
      <c r="C14" s="19" t="s">
        <v>34</v>
      </c>
      <c r="D14" s="22">
        <v>91500</v>
      </c>
      <c r="E14" s="22">
        <v>91500</v>
      </c>
      <c r="F14" s="22">
        <v>91500</v>
      </c>
      <c r="G14" s="22">
        <v>50000</v>
      </c>
      <c r="H14" s="22">
        <v>50000</v>
      </c>
      <c r="I14" s="22">
        <v>70000</v>
      </c>
      <c r="J14" s="22">
        <v>70000</v>
      </c>
      <c r="K14" s="22">
        <v>70000</v>
      </c>
      <c r="L14" s="22">
        <v>50000</v>
      </c>
      <c r="M14" s="22">
        <v>50000</v>
      </c>
      <c r="N14" s="22">
        <v>91500</v>
      </c>
      <c r="O14" s="22">
        <v>91500</v>
      </c>
      <c r="P14" s="21">
        <f t="shared" si="3"/>
        <v>867500</v>
      </c>
      <c r="Q14" s="22">
        <f>P14*0.27</f>
        <v>234225.00000000003</v>
      </c>
      <c r="R14" s="21">
        <f t="shared" si="4"/>
        <v>1101725</v>
      </c>
      <c r="S14" s="24"/>
    </row>
    <row r="15" spans="1:19" ht="15">
      <c r="B15" s="18" t="s">
        <v>198</v>
      </c>
      <c r="C15" s="19" t="s">
        <v>36</v>
      </c>
      <c r="D15" s="22"/>
      <c r="E15" s="22"/>
      <c r="F15" s="22">
        <v>1600000</v>
      </c>
      <c r="G15" s="22"/>
      <c r="H15" s="22"/>
      <c r="I15" s="22">
        <v>1400000</v>
      </c>
      <c r="J15" s="22"/>
      <c r="K15" s="22"/>
      <c r="L15" s="22">
        <v>1400000</v>
      </c>
      <c r="M15" s="22"/>
      <c r="N15" s="22"/>
      <c r="O15" s="22"/>
      <c r="P15" s="21">
        <f t="shared" si="3"/>
        <v>4400000</v>
      </c>
      <c r="Q15" s="22">
        <f>+P15*0.27</f>
        <v>1188000</v>
      </c>
      <c r="R15" s="21">
        <f t="shared" si="4"/>
        <v>5588000</v>
      </c>
      <c r="S15" s="24"/>
    </row>
    <row r="16" spans="1:19" ht="15">
      <c r="C16" s="25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</row>
    <row r="17" spans="2:19" ht="15">
      <c r="B17" s="10">
        <v>2</v>
      </c>
      <c r="C17" s="27" t="s">
        <v>200</v>
      </c>
      <c r="D17" s="29">
        <f t="shared" ref="D17:R17" si="6">SUM(D18:D26)</f>
        <v>34160888.666666672</v>
      </c>
      <c r="E17" s="29">
        <f t="shared" si="6"/>
        <v>23303888.666666668</v>
      </c>
      <c r="F17" s="29">
        <f t="shared" si="6"/>
        <v>23303888.666666668</v>
      </c>
      <c r="G17" s="29">
        <f t="shared" si="6"/>
        <v>23903888.666666668</v>
      </c>
      <c r="H17" s="29">
        <f t="shared" si="6"/>
        <v>23303888.666666668</v>
      </c>
      <c r="I17" s="29">
        <f t="shared" si="6"/>
        <v>23303888.666666668</v>
      </c>
      <c r="J17" s="29">
        <f t="shared" si="6"/>
        <v>23303888.666666668</v>
      </c>
      <c r="K17" s="29">
        <f t="shared" si="6"/>
        <v>23303888.666666668</v>
      </c>
      <c r="L17" s="29">
        <f t="shared" si="6"/>
        <v>23303888.666666668</v>
      </c>
      <c r="M17" s="29">
        <f t="shared" si="6"/>
        <v>23303888.666666668</v>
      </c>
      <c r="N17" s="29">
        <f t="shared" si="6"/>
        <v>23303888.666666668</v>
      </c>
      <c r="O17" s="29">
        <f t="shared" si="6"/>
        <v>23303888.666666668</v>
      </c>
      <c r="P17" s="15">
        <f t="shared" si="6"/>
        <v>291103664</v>
      </c>
      <c r="Q17" s="15">
        <f t="shared" si="6"/>
        <v>78597989.280000001</v>
      </c>
      <c r="R17" s="15">
        <f t="shared" si="6"/>
        <v>369701653.27999997</v>
      </c>
    </row>
    <row r="18" spans="2:19" ht="15">
      <c r="B18" s="405" t="s">
        <v>37</v>
      </c>
      <c r="C18" s="406" t="s">
        <v>102</v>
      </c>
      <c r="D18" s="407">
        <f>+D6</f>
        <v>21482000</v>
      </c>
      <c r="E18" s="407">
        <f t="shared" ref="E18:O18" si="7">170*62500</f>
        <v>10625000</v>
      </c>
      <c r="F18" s="407">
        <f t="shared" si="7"/>
        <v>10625000</v>
      </c>
      <c r="G18" s="407">
        <f t="shared" si="7"/>
        <v>10625000</v>
      </c>
      <c r="H18" s="407">
        <f t="shared" si="7"/>
        <v>10625000</v>
      </c>
      <c r="I18" s="407">
        <f t="shared" si="7"/>
        <v>10625000</v>
      </c>
      <c r="J18" s="407">
        <f t="shared" si="7"/>
        <v>10625000</v>
      </c>
      <c r="K18" s="407">
        <f t="shared" si="7"/>
        <v>10625000</v>
      </c>
      <c r="L18" s="407">
        <f t="shared" si="7"/>
        <v>10625000</v>
      </c>
      <c r="M18" s="407">
        <f t="shared" si="7"/>
        <v>10625000</v>
      </c>
      <c r="N18" s="407">
        <f t="shared" si="7"/>
        <v>10625000</v>
      </c>
      <c r="O18" s="407">
        <f t="shared" si="7"/>
        <v>10625000</v>
      </c>
      <c r="P18" s="407">
        <f>SUM(D18:O18)</f>
        <v>138357000</v>
      </c>
      <c r="Q18" s="407">
        <f>P18*0.27</f>
        <v>37356390</v>
      </c>
      <c r="R18" s="549">
        <f>SUM(P18:Q18)</f>
        <v>175713390</v>
      </c>
    </row>
    <row r="19" spans="2:19" ht="15">
      <c r="B19" s="405" t="s">
        <v>342</v>
      </c>
      <c r="C19" s="406" t="s">
        <v>346</v>
      </c>
      <c r="D19" s="407">
        <v>8066666.666666667</v>
      </c>
      <c r="E19" s="407">
        <v>8066666.666666667</v>
      </c>
      <c r="F19" s="407">
        <v>8066666.666666667</v>
      </c>
      <c r="G19" s="407">
        <v>8066666.666666667</v>
      </c>
      <c r="H19" s="407">
        <v>8066666.666666667</v>
      </c>
      <c r="I19" s="407">
        <v>8066666.666666667</v>
      </c>
      <c r="J19" s="407">
        <v>8066666.666666667</v>
      </c>
      <c r="K19" s="407">
        <v>8066666.666666667</v>
      </c>
      <c r="L19" s="407">
        <v>8066666.666666667</v>
      </c>
      <c r="M19" s="407">
        <v>8066666.666666667</v>
      </c>
      <c r="N19" s="407">
        <v>8066666.666666667</v>
      </c>
      <c r="O19" s="407">
        <v>8066666.666666667</v>
      </c>
      <c r="P19" s="407">
        <f t="shared" ref="P19:P26" si="8">SUM(D19:O19)</f>
        <v>96800000.000000015</v>
      </c>
      <c r="Q19" s="407">
        <f>P19*0.27</f>
        <v>26136000.000000007</v>
      </c>
      <c r="R19" s="549">
        <f t="shared" ref="R19:R26" si="9">SUM(P19:Q19)</f>
        <v>122936000.00000003</v>
      </c>
    </row>
    <row r="20" spans="2:19" ht="15">
      <c r="B20" s="405" t="s">
        <v>38</v>
      </c>
      <c r="C20" s="406" t="s">
        <v>343</v>
      </c>
      <c r="D20" s="407">
        <f>19116000/12</f>
        <v>1593000</v>
      </c>
      <c r="E20" s="407">
        <f t="shared" ref="E20:O20" si="10">19116000/12</f>
        <v>1593000</v>
      </c>
      <c r="F20" s="407">
        <f t="shared" si="10"/>
        <v>1593000</v>
      </c>
      <c r="G20" s="407">
        <f t="shared" si="10"/>
        <v>1593000</v>
      </c>
      <c r="H20" s="407">
        <f t="shared" si="10"/>
        <v>1593000</v>
      </c>
      <c r="I20" s="407">
        <f t="shared" si="10"/>
        <v>1593000</v>
      </c>
      <c r="J20" s="407">
        <f t="shared" si="10"/>
        <v>1593000</v>
      </c>
      <c r="K20" s="407">
        <f t="shared" si="10"/>
        <v>1593000</v>
      </c>
      <c r="L20" s="407">
        <f t="shared" si="10"/>
        <v>1593000</v>
      </c>
      <c r="M20" s="407">
        <f t="shared" si="10"/>
        <v>1593000</v>
      </c>
      <c r="N20" s="407">
        <f t="shared" si="10"/>
        <v>1593000</v>
      </c>
      <c r="O20" s="407">
        <f t="shared" si="10"/>
        <v>1593000</v>
      </c>
      <c r="P20" s="407">
        <f t="shared" si="8"/>
        <v>19116000</v>
      </c>
      <c r="Q20" s="407">
        <f>P20*0.27</f>
        <v>5161320</v>
      </c>
      <c r="R20" s="549">
        <f t="shared" si="9"/>
        <v>24277320</v>
      </c>
    </row>
    <row r="21" spans="2:19" ht="15">
      <c r="B21" s="30" t="s">
        <v>40</v>
      </c>
      <c r="C21" s="31" t="s">
        <v>375</v>
      </c>
      <c r="D21" s="22">
        <f>3000*221</f>
        <v>663000</v>
      </c>
      <c r="E21" s="22">
        <f t="shared" ref="E21:O21" si="11">3000*221</f>
        <v>663000</v>
      </c>
      <c r="F21" s="22">
        <f t="shared" si="11"/>
        <v>663000</v>
      </c>
      <c r="G21" s="22">
        <f t="shared" si="11"/>
        <v>663000</v>
      </c>
      <c r="H21" s="22">
        <f t="shared" si="11"/>
        <v>663000</v>
      </c>
      <c r="I21" s="22">
        <f t="shared" si="11"/>
        <v>663000</v>
      </c>
      <c r="J21" s="22">
        <f t="shared" si="11"/>
        <v>663000</v>
      </c>
      <c r="K21" s="22">
        <f t="shared" si="11"/>
        <v>663000</v>
      </c>
      <c r="L21" s="22">
        <f t="shared" si="11"/>
        <v>663000</v>
      </c>
      <c r="M21" s="22">
        <f t="shared" si="11"/>
        <v>663000</v>
      </c>
      <c r="N21" s="22">
        <f t="shared" si="11"/>
        <v>663000</v>
      </c>
      <c r="O21" s="22">
        <f t="shared" si="11"/>
        <v>663000</v>
      </c>
      <c r="P21" s="22">
        <f t="shared" si="8"/>
        <v>7956000</v>
      </c>
      <c r="Q21" s="22">
        <f>P21*0.27</f>
        <v>2148120</v>
      </c>
      <c r="R21" s="484">
        <f t="shared" si="9"/>
        <v>10104120</v>
      </c>
    </row>
    <row r="22" spans="2:19" ht="15">
      <c r="B22" s="30" t="s">
        <v>41</v>
      </c>
      <c r="C22" s="31" t="s">
        <v>39</v>
      </c>
      <c r="D22" s="22">
        <v>198222</v>
      </c>
      <c r="E22" s="22">
        <v>198222</v>
      </c>
      <c r="F22" s="22">
        <v>198222</v>
      </c>
      <c r="G22" s="22">
        <v>198222</v>
      </c>
      <c r="H22" s="22">
        <v>198222</v>
      </c>
      <c r="I22" s="22">
        <v>198222</v>
      </c>
      <c r="J22" s="22">
        <v>198222</v>
      </c>
      <c r="K22" s="22">
        <v>198222</v>
      </c>
      <c r="L22" s="22">
        <v>198222</v>
      </c>
      <c r="M22" s="22">
        <v>198222</v>
      </c>
      <c r="N22" s="22">
        <v>198222</v>
      </c>
      <c r="O22" s="22">
        <v>198222</v>
      </c>
      <c r="P22" s="22">
        <f t="shared" si="8"/>
        <v>2378664</v>
      </c>
      <c r="Q22" s="22">
        <f t="shared" ref="Q22:Q26" si="12">P22*0.27</f>
        <v>642239.28</v>
      </c>
      <c r="R22" s="484">
        <f t="shared" si="9"/>
        <v>3020903.2800000003</v>
      </c>
    </row>
    <row r="23" spans="2:19" ht="15">
      <c r="B23" s="30" t="s">
        <v>43</v>
      </c>
      <c r="C23" s="19" t="s">
        <v>201</v>
      </c>
      <c r="D23" s="20">
        <f>22000*2</f>
        <v>44000</v>
      </c>
      <c r="E23" s="20">
        <f t="shared" ref="E23:O23" si="13">22000*2</f>
        <v>44000</v>
      </c>
      <c r="F23" s="20">
        <f t="shared" si="13"/>
        <v>44000</v>
      </c>
      <c r="G23" s="20">
        <f t="shared" si="13"/>
        <v>44000</v>
      </c>
      <c r="H23" s="20">
        <f t="shared" si="13"/>
        <v>44000</v>
      </c>
      <c r="I23" s="20">
        <f t="shared" si="13"/>
        <v>44000</v>
      </c>
      <c r="J23" s="20">
        <f t="shared" si="13"/>
        <v>44000</v>
      </c>
      <c r="K23" s="20">
        <f t="shared" si="13"/>
        <v>44000</v>
      </c>
      <c r="L23" s="20">
        <f t="shared" si="13"/>
        <v>44000</v>
      </c>
      <c r="M23" s="20">
        <f t="shared" si="13"/>
        <v>44000</v>
      </c>
      <c r="N23" s="20">
        <f t="shared" si="13"/>
        <v>44000</v>
      </c>
      <c r="O23" s="20">
        <f t="shared" si="13"/>
        <v>44000</v>
      </c>
      <c r="P23" s="22">
        <f t="shared" si="8"/>
        <v>528000</v>
      </c>
      <c r="Q23" s="22">
        <f t="shared" si="12"/>
        <v>142560</v>
      </c>
      <c r="R23" s="484">
        <f t="shared" si="9"/>
        <v>670560</v>
      </c>
    </row>
    <row r="24" spans="2:19" ht="15">
      <c r="B24" s="30" t="s">
        <v>45</v>
      </c>
      <c r="C24" s="19" t="s">
        <v>44</v>
      </c>
      <c r="D24" s="20">
        <f>5000*10</f>
        <v>50000</v>
      </c>
      <c r="E24" s="20">
        <v>50000</v>
      </c>
      <c r="F24" s="20">
        <v>50000</v>
      </c>
      <c r="G24" s="20">
        <f>(5000*10)+(600*1000)</f>
        <v>650000</v>
      </c>
      <c r="H24" s="20">
        <v>50000</v>
      </c>
      <c r="I24" s="20">
        <v>50000</v>
      </c>
      <c r="J24" s="20">
        <v>50000</v>
      </c>
      <c r="K24" s="20">
        <v>50000</v>
      </c>
      <c r="L24" s="20">
        <v>50000</v>
      </c>
      <c r="M24" s="20">
        <v>50000</v>
      </c>
      <c r="N24" s="20">
        <v>50000</v>
      </c>
      <c r="O24" s="20">
        <v>50000</v>
      </c>
      <c r="P24" s="22">
        <f t="shared" si="8"/>
        <v>1200000</v>
      </c>
      <c r="Q24" s="22">
        <f t="shared" si="12"/>
        <v>324000</v>
      </c>
      <c r="R24" s="484">
        <f t="shared" si="9"/>
        <v>1524000</v>
      </c>
    </row>
    <row r="25" spans="2:19" ht="15">
      <c r="B25" s="30" t="s">
        <v>47</v>
      </c>
      <c r="C25" s="19" t="s">
        <v>46</v>
      </c>
      <c r="D25" s="20">
        <v>2000000</v>
      </c>
      <c r="E25" s="20">
        <v>2000000</v>
      </c>
      <c r="F25" s="20">
        <v>2000000</v>
      </c>
      <c r="G25" s="20">
        <v>2000000</v>
      </c>
      <c r="H25" s="20">
        <v>2000000</v>
      </c>
      <c r="I25" s="20">
        <v>2000000</v>
      </c>
      <c r="J25" s="20">
        <v>2000000</v>
      </c>
      <c r="K25" s="20">
        <v>2000000</v>
      </c>
      <c r="L25" s="20">
        <v>2000000</v>
      </c>
      <c r="M25" s="20">
        <v>2000000</v>
      </c>
      <c r="N25" s="20">
        <v>2000000</v>
      </c>
      <c r="O25" s="20">
        <v>2000000</v>
      </c>
      <c r="P25" s="22">
        <f t="shared" si="8"/>
        <v>24000000</v>
      </c>
      <c r="Q25" s="22">
        <f t="shared" si="12"/>
        <v>6480000</v>
      </c>
      <c r="R25" s="484">
        <f t="shared" si="9"/>
        <v>30480000</v>
      </c>
    </row>
    <row r="26" spans="2:19" ht="15">
      <c r="B26" s="30" t="s">
        <v>49</v>
      </c>
      <c r="C26" s="19" t="s">
        <v>269</v>
      </c>
      <c r="D26" s="20">
        <f>32000*2</f>
        <v>64000</v>
      </c>
      <c r="E26" s="20">
        <f t="shared" ref="E26:O26" si="14">32000*2</f>
        <v>64000</v>
      </c>
      <c r="F26" s="20">
        <f t="shared" si="14"/>
        <v>64000</v>
      </c>
      <c r="G26" s="20">
        <f t="shared" si="14"/>
        <v>64000</v>
      </c>
      <c r="H26" s="20">
        <f t="shared" si="14"/>
        <v>64000</v>
      </c>
      <c r="I26" s="20">
        <f t="shared" si="14"/>
        <v>64000</v>
      </c>
      <c r="J26" s="20">
        <f t="shared" si="14"/>
        <v>64000</v>
      </c>
      <c r="K26" s="20">
        <f t="shared" si="14"/>
        <v>64000</v>
      </c>
      <c r="L26" s="20">
        <f t="shared" si="14"/>
        <v>64000</v>
      </c>
      <c r="M26" s="20">
        <f t="shared" si="14"/>
        <v>64000</v>
      </c>
      <c r="N26" s="20">
        <f t="shared" si="14"/>
        <v>64000</v>
      </c>
      <c r="O26" s="20">
        <f t="shared" si="14"/>
        <v>64000</v>
      </c>
      <c r="P26" s="22">
        <f t="shared" si="8"/>
        <v>768000</v>
      </c>
      <c r="Q26" s="22">
        <f t="shared" si="12"/>
        <v>207360</v>
      </c>
      <c r="R26" s="484">
        <f t="shared" si="9"/>
        <v>975360</v>
      </c>
    </row>
    <row r="27" spans="2:19" ht="15">
      <c r="B27" s="30"/>
      <c r="C27" s="7"/>
      <c r="D27" s="282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</row>
    <row r="28" spans="2:19" s="40" customFormat="1" ht="15">
      <c r="B28" s="37">
        <v>3</v>
      </c>
      <c r="C28" s="38" t="s">
        <v>51</v>
      </c>
      <c r="D28" s="15">
        <f t="shared" ref="D28:R28" si="15">SUM(D29:D43)</f>
        <v>14938156.333333334</v>
      </c>
      <c r="E28" s="15">
        <f t="shared" si="15"/>
        <v>14011186.636363637</v>
      </c>
      <c r="F28" s="15">
        <f t="shared" si="15"/>
        <v>14361186.636363637</v>
      </c>
      <c r="G28" s="15">
        <f t="shared" si="15"/>
        <v>12611186.636363637</v>
      </c>
      <c r="H28" s="15">
        <f t="shared" si="15"/>
        <v>9574519.9696969688</v>
      </c>
      <c r="I28" s="15">
        <f t="shared" si="15"/>
        <v>8611186.6363636367</v>
      </c>
      <c r="J28" s="15">
        <f t="shared" si="15"/>
        <v>8961186.6363636367</v>
      </c>
      <c r="K28" s="15">
        <f t="shared" si="15"/>
        <v>8611186.6363636367</v>
      </c>
      <c r="L28" s="15">
        <f t="shared" si="15"/>
        <v>9194519.9696969688</v>
      </c>
      <c r="M28" s="15">
        <f t="shared" si="15"/>
        <v>12611186.636363637</v>
      </c>
      <c r="N28" s="15">
        <f t="shared" si="15"/>
        <v>12961186.636363637</v>
      </c>
      <c r="O28" s="15">
        <f t="shared" si="15"/>
        <v>12611186.636363637</v>
      </c>
      <c r="P28" s="15">
        <f>SUM(P29:P43)</f>
        <v>127057876</v>
      </c>
      <c r="Q28" s="15">
        <f t="shared" si="15"/>
        <v>33295320</v>
      </c>
      <c r="R28" s="15">
        <f t="shared" si="15"/>
        <v>160353196</v>
      </c>
    </row>
    <row r="29" spans="2:19" ht="16.5" customHeight="1">
      <c r="B29" s="30" t="s">
        <v>52</v>
      </c>
      <c r="C29" s="19" t="s">
        <v>55</v>
      </c>
      <c r="D29" s="20">
        <v>311823</v>
      </c>
      <c r="E29" s="20">
        <f>+Rezsiköltségek!E15</f>
        <v>311823</v>
      </c>
      <c r="F29" s="20">
        <f>+E29</f>
        <v>311823</v>
      </c>
      <c r="G29" s="20">
        <f t="shared" ref="G29:O29" si="16">+F29</f>
        <v>311823</v>
      </c>
      <c r="H29" s="20">
        <f t="shared" si="16"/>
        <v>311823</v>
      </c>
      <c r="I29" s="20">
        <f t="shared" si="16"/>
        <v>311823</v>
      </c>
      <c r="J29" s="20">
        <f t="shared" si="16"/>
        <v>311823</v>
      </c>
      <c r="K29" s="20">
        <f t="shared" si="16"/>
        <v>311823</v>
      </c>
      <c r="L29" s="20">
        <f t="shared" si="16"/>
        <v>311823</v>
      </c>
      <c r="M29" s="20">
        <f t="shared" si="16"/>
        <v>311823</v>
      </c>
      <c r="N29" s="20">
        <f t="shared" si="16"/>
        <v>311823</v>
      </c>
      <c r="O29" s="20">
        <f t="shared" si="16"/>
        <v>311823</v>
      </c>
      <c r="P29" s="20">
        <f t="shared" ref="P29:P41" si="17">SUM(D29:O29)</f>
        <v>3741876</v>
      </c>
      <c r="Q29" s="22">
        <v>0</v>
      </c>
      <c r="R29" s="485">
        <f t="shared" ref="R29:R43" si="18">+Q29+P29</f>
        <v>3741876</v>
      </c>
    </row>
    <row r="30" spans="2:19" ht="16.5" customHeight="1">
      <c r="B30" s="30" t="s">
        <v>54</v>
      </c>
      <c r="C30" s="19" t="s">
        <v>204</v>
      </c>
      <c r="D30" s="20">
        <v>200000</v>
      </c>
      <c r="E30" s="20">
        <v>200000</v>
      </c>
      <c r="F30" s="20">
        <v>200000</v>
      </c>
      <c r="G30" s="20">
        <v>200000</v>
      </c>
      <c r="H30" s="20">
        <v>200000</v>
      </c>
      <c r="I30" s="20">
        <v>200000</v>
      </c>
      <c r="J30" s="20">
        <v>200000</v>
      </c>
      <c r="K30" s="20">
        <v>200000</v>
      </c>
      <c r="L30" s="20">
        <v>200000</v>
      </c>
      <c r="M30" s="20">
        <v>200000</v>
      </c>
      <c r="N30" s="20">
        <v>200000</v>
      </c>
      <c r="O30" s="20">
        <v>200000</v>
      </c>
      <c r="P30" s="20">
        <f t="shared" si="17"/>
        <v>2400000</v>
      </c>
      <c r="Q30" s="22">
        <f>+P30*0.27</f>
        <v>648000</v>
      </c>
      <c r="R30" s="485">
        <f t="shared" si="18"/>
        <v>3048000</v>
      </c>
      <c r="S30" s="553"/>
    </row>
    <row r="31" spans="2:19" ht="16.5" customHeight="1">
      <c r="B31" s="30" t="s">
        <v>56</v>
      </c>
      <c r="C31" s="19" t="s">
        <v>91</v>
      </c>
      <c r="D31" s="20">
        <f>(11000*8)+(12*15000)</f>
        <v>268000</v>
      </c>
      <c r="E31" s="20">
        <f t="shared" ref="E31:O31" si="19">(11000*8)+(12*15000)</f>
        <v>268000</v>
      </c>
      <c r="F31" s="20">
        <f t="shared" si="19"/>
        <v>268000</v>
      </c>
      <c r="G31" s="20">
        <f t="shared" si="19"/>
        <v>268000</v>
      </c>
      <c r="H31" s="20">
        <f t="shared" si="19"/>
        <v>268000</v>
      </c>
      <c r="I31" s="20">
        <f t="shared" si="19"/>
        <v>268000</v>
      </c>
      <c r="J31" s="20">
        <f t="shared" si="19"/>
        <v>268000</v>
      </c>
      <c r="K31" s="20">
        <f t="shared" si="19"/>
        <v>268000</v>
      </c>
      <c r="L31" s="20">
        <f t="shared" si="19"/>
        <v>268000</v>
      </c>
      <c r="M31" s="20">
        <f t="shared" si="19"/>
        <v>268000</v>
      </c>
      <c r="N31" s="20">
        <f t="shared" si="19"/>
        <v>268000</v>
      </c>
      <c r="O31" s="20">
        <f t="shared" si="19"/>
        <v>268000</v>
      </c>
      <c r="P31" s="20">
        <f t="shared" si="17"/>
        <v>3216000</v>
      </c>
      <c r="Q31" s="22">
        <f t="shared" ref="Q31:Q41" si="20">+P31*0.27</f>
        <v>868320</v>
      </c>
      <c r="R31" s="485">
        <f t="shared" si="18"/>
        <v>4084320</v>
      </c>
    </row>
    <row r="32" spans="2:19" ht="16.5" customHeight="1">
      <c r="B32" s="30" t="s">
        <v>58</v>
      </c>
      <c r="C32" s="19" t="s">
        <v>92</v>
      </c>
      <c r="D32" s="20">
        <v>150000</v>
      </c>
      <c r="E32" s="20">
        <v>150000</v>
      </c>
      <c r="F32" s="20">
        <v>150000</v>
      </c>
      <c r="G32" s="20">
        <v>150000</v>
      </c>
      <c r="H32" s="20">
        <v>150000</v>
      </c>
      <c r="I32" s="20">
        <v>150000</v>
      </c>
      <c r="J32" s="20">
        <v>150000</v>
      </c>
      <c r="K32" s="20">
        <v>150000</v>
      </c>
      <c r="L32" s="20">
        <v>150000</v>
      </c>
      <c r="M32" s="20">
        <v>150000</v>
      </c>
      <c r="N32" s="20">
        <v>150000</v>
      </c>
      <c r="O32" s="20">
        <v>150000</v>
      </c>
      <c r="P32" s="20">
        <f t="shared" si="17"/>
        <v>1800000</v>
      </c>
      <c r="Q32" s="22">
        <f t="shared" si="20"/>
        <v>486000.00000000006</v>
      </c>
      <c r="R32" s="485">
        <f t="shared" si="18"/>
        <v>2286000</v>
      </c>
    </row>
    <row r="33" spans="2:22" ht="15">
      <c r="B33" s="30" t="s">
        <v>60</v>
      </c>
      <c r="C33" s="19" t="s">
        <v>93</v>
      </c>
      <c r="D33" s="20">
        <v>450000</v>
      </c>
      <c r="E33" s="20">
        <v>450000</v>
      </c>
      <c r="F33" s="20">
        <v>450000</v>
      </c>
      <c r="G33" s="20">
        <v>450000</v>
      </c>
      <c r="H33" s="20">
        <v>450000</v>
      </c>
      <c r="I33" s="20">
        <v>450000</v>
      </c>
      <c r="J33" s="20">
        <v>450000</v>
      </c>
      <c r="K33" s="20">
        <v>450000</v>
      </c>
      <c r="L33" s="20">
        <v>450000</v>
      </c>
      <c r="M33" s="20">
        <v>450000</v>
      </c>
      <c r="N33" s="20">
        <v>450000</v>
      </c>
      <c r="O33" s="20">
        <v>450000</v>
      </c>
      <c r="P33" s="20">
        <f t="shared" si="17"/>
        <v>5400000</v>
      </c>
      <c r="Q33" s="22">
        <f t="shared" si="20"/>
        <v>1458000</v>
      </c>
      <c r="R33" s="485">
        <f t="shared" si="18"/>
        <v>6858000</v>
      </c>
    </row>
    <row r="34" spans="2:22" ht="16.5" customHeight="1">
      <c r="B34" s="30" t="s">
        <v>62</v>
      </c>
      <c r="C34" s="19" t="s">
        <v>61</v>
      </c>
      <c r="D34" s="20">
        <v>1000000</v>
      </c>
      <c r="E34" s="20">
        <v>1000000</v>
      </c>
      <c r="F34" s="20">
        <v>1000000</v>
      </c>
      <c r="G34" s="20">
        <v>1000000</v>
      </c>
      <c r="H34" s="20">
        <v>1000000</v>
      </c>
      <c r="I34" s="20">
        <v>1000000</v>
      </c>
      <c r="J34" s="20">
        <v>1000000</v>
      </c>
      <c r="K34" s="20">
        <v>1000000</v>
      </c>
      <c r="L34" s="20">
        <v>1000000</v>
      </c>
      <c r="M34" s="20">
        <v>1000000</v>
      </c>
      <c r="N34" s="20">
        <v>1000000</v>
      </c>
      <c r="O34" s="20">
        <v>1000000</v>
      </c>
      <c r="P34" s="20">
        <v>12000000</v>
      </c>
      <c r="Q34" s="22">
        <f t="shared" si="20"/>
        <v>3240000</v>
      </c>
      <c r="R34" s="485">
        <f t="shared" si="18"/>
        <v>15240000</v>
      </c>
    </row>
    <row r="35" spans="2:22" ht="15">
      <c r="B35" s="30" t="s">
        <v>64</v>
      </c>
      <c r="C35" s="19" t="s">
        <v>94</v>
      </c>
      <c r="D35" s="20">
        <v>45000</v>
      </c>
      <c r="E35" s="20">
        <v>45000</v>
      </c>
      <c r="F35" s="20">
        <v>45000</v>
      </c>
      <c r="G35" s="20">
        <v>45000</v>
      </c>
      <c r="H35" s="20">
        <v>45000</v>
      </c>
      <c r="I35" s="20">
        <v>45000</v>
      </c>
      <c r="J35" s="20">
        <v>45000</v>
      </c>
      <c r="K35" s="20">
        <v>45000</v>
      </c>
      <c r="L35" s="20">
        <v>45000</v>
      </c>
      <c r="M35" s="20">
        <v>45000</v>
      </c>
      <c r="N35" s="20">
        <v>45000</v>
      </c>
      <c r="O35" s="20">
        <v>45000</v>
      </c>
      <c r="P35" s="20">
        <f t="shared" si="17"/>
        <v>540000</v>
      </c>
      <c r="Q35" s="22">
        <f t="shared" si="20"/>
        <v>145800</v>
      </c>
      <c r="R35" s="485">
        <f t="shared" si="18"/>
        <v>685800</v>
      </c>
    </row>
    <row r="36" spans="2:22" ht="16.5" customHeight="1">
      <c r="B36" s="30" t="s">
        <v>65</v>
      </c>
      <c r="C36" s="19" t="s">
        <v>70</v>
      </c>
      <c r="D36" s="20">
        <v>300000</v>
      </c>
      <c r="E36" s="20">
        <v>300000</v>
      </c>
      <c r="F36" s="20">
        <v>300000</v>
      </c>
      <c r="G36" s="20">
        <v>300000</v>
      </c>
      <c r="H36" s="20">
        <v>300000</v>
      </c>
      <c r="I36" s="20">
        <v>300000</v>
      </c>
      <c r="J36" s="20">
        <v>300000</v>
      </c>
      <c r="K36" s="20">
        <v>300000</v>
      </c>
      <c r="L36" s="20">
        <v>300000</v>
      </c>
      <c r="M36" s="20">
        <v>300000</v>
      </c>
      <c r="N36" s="20">
        <v>300000</v>
      </c>
      <c r="O36" s="20">
        <v>300000</v>
      </c>
      <c r="P36" s="20">
        <f t="shared" si="17"/>
        <v>3600000</v>
      </c>
      <c r="Q36" s="22">
        <f t="shared" si="20"/>
        <v>972000.00000000012</v>
      </c>
      <c r="R36" s="485">
        <f t="shared" si="18"/>
        <v>4572000</v>
      </c>
    </row>
    <row r="37" spans="2:22" ht="16.5" customHeight="1">
      <c r="B37" s="30" t="s">
        <v>67</v>
      </c>
      <c r="C37" s="19" t="s">
        <v>271</v>
      </c>
      <c r="D37" s="20">
        <f>1000000+1400000+(700000/3)</f>
        <v>2633333.3333333335</v>
      </c>
      <c r="E37" s="20">
        <f t="shared" ref="E37" si="21">1000000+1400000</f>
        <v>2400000</v>
      </c>
      <c r="F37" s="20">
        <f>1000000+1400000</f>
        <v>2400000</v>
      </c>
      <c r="G37" s="20">
        <f t="shared" ref="G37:O37" si="22">1000000</f>
        <v>1000000</v>
      </c>
      <c r="H37" s="20">
        <f>1000000+(700000/3)</f>
        <v>1233333.3333333333</v>
      </c>
      <c r="I37" s="20">
        <f t="shared" si="22"/>
        <v>1000000</v>
      </c>
      <c r="J37" s="20">
        <f t="shared" si="22"/>
        <v>1000000</v>
      </c>
      <c r="K37" s="20">
        <f t="shared" si="22"/>
        <v>1000000</v>
      </c>
      <c r="L37" s="20">
        <f>1000000+(700000/3)</f>
        <v>1233333.3333333333</v>
      </c>
      <c r="M37" s="20">
        <f t="shared" si="22"/>
        <v>1000000</v>
      </c>
      <c r="N37" s="20">
        <f t="shared" si="22"/>
        <v>1000000</v>
      </c>
      <c r="O37" s="20">
        <f t="shared" si="22"/>
        <v>1000000</v>
      </c>
      <c r="P37" s="20">
        <f t="shared" si="17"/>
        <v>16900000</v>
      </c>
      <c r="Q37" s="22">
        <f t="shared" si="20"/>
        <v>4563000</v>
      </c>
      <c r="R37" s="485">
        <f t="shared" si="18"/>
        <v>21463000</v>
      </c>
    </row>
    <row r="38" spans="2:22" ht="15">
      <c r="B38" s="30" t="s">
        <v>69</v>
      </c>
      <c r="C38" s="19" t="s">
        <v>95</v>
      </c>
      <c r="D38" s="20">
        <f>340000+1000000</f>
        <v>1340000</v>
      </c>
      <c r="E38" s="20">
        <f t="shared" ref="E38:O38" si="23">340000+1000000</f>
        <v>1340000</v>
      </c>
      <c r="F38" s="20">
        <f t="shared" si="23"/>
        <v>1340000</v>
      </c>
      <c r="G38" s="20">
        <f t="shared" si="23"/>
        <v>1340000</v>
      </c>
      <c r="H38" s="20">
        <f t="shared" si="23"/>
        <v>1340000</v>
      </c>
      <c r="I38" s="20">
        <f t="shared" si="23"/>
        <v>1340000</v>
      </c>
      <c r="J38" s="20">
        <f t="shared" si="23"/>
        <v>1340000</v>
      </c>
      <c r="K38" s="20">
        <f t="shared" si="23"/>
        <v>1340000</v>
      </c>
      <c r="L38" s="20">
        <f t="shared" si="23"/>
        <v>1340000</v>
      </c>
      <c r="M38" s="20">
        <f t="shared" si="23"/>
        <v>1340000</v>
      </c>
      <c r="N38" s="20">
        <f t="shared" si="23"/>
        <v>1340000</v>
      </c>
      <c r="O38" s="20">
        <f t="shared" si="23"/>
        <v>1340000</v>
      </c>
      <c r="P38" s="20">
        <f t="shared" si="17"/>
        <v>16080000</v>
      </c>
      <c r="Q38" s="22">
        <f t="shared" si="20"/>
        <v>4341600</v>
      </c>
      <c r="R38" s="485">
        <f t="shared" si="18"/>
        <v>20421600</v>
      </c>
    </row>
    <row r="39" spans="2:22" ht="15">
      <c r="B39" s="30" t="s">
        <v>71</v>
      </c>
      <c r="C39" s="19" t="s">
        <v>74</v>
      </c>
      <c r="D39" s="20">
        <f>65*4000</f>
        <v>260000</v>
      </c>
      <c r="E39" s="20">
        <f t="shared" ref="E39:O39" si="24">65*4000</f>
        <v>260000</v>
      </c>
      <c r="F39" s="20">
        <f t="shared" si="24"/>
        <v>260000</v>
      </c>
      <c r="G39" s="20">
        <f t="shared" si="24"/>
        <v>260000</v>
      </c>
      <c r="H39" s="20">
        <f>(65*4000)+380000</f>
        <v>640000</v>
      </c>
      <c r="I39" s="20">
        <f t="shared" si="24"/>
        <v>260000</v>
      </c>
      <c r="J39" s="20">
        <f t="shared" si="24"/>
        <v>260000</v>
      </c>
      <c r="K39" s="20">
        <f t="shared" si="24"/>
        <v>260000</v>
      </c>
      <c r="L39" s="20">
        <f t="shared" si="24"/>
        <v>260000</v>
      </c>
      <c r="M39" s="20">
        <f t="shared" si="24"/>
        <v>260000</v>
      </c>
      <c r="N39" s="20">
        <f t="shared" si="24"/>
        <v>260000</v>
      </c>
      <c r="O39" s="20">
        <f t="shared" si="24"/>
        <v>260000</v>
      </c>
      <c r="P39" s="20">
        <f t="shared" si="17"/>
        <v>3500000</v>
      </c>
      <c r="Q39" s="22">
        <f t="shared" si="20"/>
        <v>945000.00000000012</v>
      </c>
      <c r="R39" s="485">
        <f t="shared" si="18"/>
        <v>4445000</v>
      </c>
    </row>
    <row r="40" spans="2:22" ht="15">
      <c r="B40" s="30" t="s">
        <v>73</v>
      </c>
      <c r="C40" s="19" t="s">
        <v>106</v>
      </c>
      <c r="D40" s="20">
        <v>1980000</v>
      </c>
      <c r="E40" s="20">
        <f>18000000/11</f>
        <v>1636363.6363636365</v>
      </c>
      <c r="F40" s="20">
        <f t="shared" ref="F40:O40" si="25">18000000/11</f>
        <v>1636363.6363636365</v>
      </c>
      <c r="G40" s="20">
        <f t="shared" si="25"/>
        <v>1636363.6363636365</v>
      </c>
      <c r="H40" s="20">
        <f t="shared" si="25"/>
        <v>1636363.6363636365</v>
      </c>
      <c r="I40" s="20">
        <f t="shared" si="25"/>
        <v>1636363.6363636365</v>
      </c>
      <c r="J40" s="20">
        <f t="shared" si="25"/>
        <v>1636363.6363636365</v>
      </c>
      <c r="K40" s="20">
        <f t="shared" si="25"/>
        <v>1636363.6363636365</v>
      </c>
      <c r="L40" s="20">
        <f t="shared" si="25"/>
        <v>1636363.6363636365</v>
      </c>
      <c r="M40" s="20">
        <f t="shared" si="25"/>
        <v>1636363.6363636365</v>
      </c>
      <c r="N40" s="20">
        <f t="shared" si="25"/>
        <v>1636363.6363636365</v>
      </c>
      <c r="O40" s="20">
        <f t="shared" si="25"/>
        <v>1636363.6363636365</v>
      </c>
      <c r="P40" s="20">
        <f t="shared" si="17"/>
        <v>19980000.000000004</v>
      </c>
      <c r="Q40" s="22">
        <f t="shared" si="20"/>
        <v>5394600.0000000009</v>
      </c>
      <c r="R40" s="485">
        <f t="shared" si="18"/>
        <v>25374600.000000004</v>
      </c>
    </row>
    <row r="41" spans="2:22" ht="15">
      <c r="B41" s="30" t="s">
        <v>75</v>
      </c>
      <c r="C41" s="19" t="s">
        <v>76</v>
      </c>
      <c r="D41" s="20">
        <f>1200000+450000+350000</f>
        <v>2000000</v>
      </c>
      <c r="E41" s="20">
        <f>1200000+450000</f>
        <v>1650000</v>
      </c>
      <c r="F41" s="20">
        <f>1200000+450000+350000</f>
        <v>2000000</v>
      </c>
      <c r="G41" s="20">
        <f>1200000+450000</f>
        <v>1650000</v>
      </c>
      <c r="H41" s="20">
        <f>1200000+450000+350000</f>
        <v>2000000</v>
      </c>
      <c r="I41" s="20">
        <f>1200000+450000</f>
        <v>1650000</v>
      </c>
      <c r="J41" s="20">
        <f>1200000+450000+350000</f>
        <v>2000000</v>
      </c>
      <c r="K41" s="20">
        <f>1200000+450000</f>
        <v>1650000</v>
      </c>
      <c r="L41" s="20">
        <f>1200000+450000+350000</f>
        <v>2000000</v>
      </c>
      <c r="M41" s="20">
        <f>1200000+450000</f>
        <v>1650000</v>
      </c>
      <c r="N41" s="20">
        <f>1200000+450000+350000</f>
        <v>2000000</v>
      </c>
      <c r="O41" s="20">
        <f t="shared" ref="O41" si="26">1200000+450000</f>
        <v>1650000</v>
      </c>
      <c r="P41" s="20">
        <f t="shared" si="17"/>
        <v>21900000</v>
      </c>
      <c r="Q41" s="22">
        <f t="shared" si="20"/>
        <v>5913000</v>
      </c>
      <c r="R41" s="485">
        <f t="shared" si="18"/>
        <v>27813000</v>
      </c>
    </row>
    <row r="42" spans="2:22" ht="15">
      <c r="B42" s="30" t="s">
        <v>96</v>
      </c>
      <c r="C42" s="19" t="s">
        <v>108</v>
      </c>
      <c r="D42" s="20">
        <v>2000000</v>
      </c>
      <c r="E42" s="20">
        <v>2000000</v>
      </c>
      <c r="F42" s="20">
        <v>2000000</v>
      </c>
      <c r="G42" s="20">
        <v>2000000</v>
      </c>
      <c r="H42" s="243"/>
      <c r="I42" s="20"/>
      <c r="J42" s="20"/>
      <c r="K42" s="20"/>
      <c r="L42" s="20"/>
      <c r="M42" s="20">
        <v>2000000</v>
      </c>
      <c r="N42" s="522">
        <v>2000000</v>
      </c>
      <c r="O42" s="522">
        <v>2000000</v>
      </c>
      <c r="P42" s="20">
        <v>8000000</v>
      </c>
      <c r="Q42" s="484">
        <f t="shared" ref="Q42:Q43" si="27">+P42*0.27</f>
        <v>2160000</v>
      </c>
      <c r="R42" s="485">
        <f t="shared" si="18"/>
        <v>10160000</v>
      </c>
      <c r="V42" s="359"/>
    </row>
    <row r="43" spans="2:22" ht="15">
      <c r="B43" s="30" t="s">
        <v>97</v>
      </c>
      <c r="C43" s="19" t="s">
        <v>380</v>
      </c>
      <c r="D43" s="20">
        <v>2000000</v>
      </c>
      <c r="E43" s="20">
        <v>2000000</v>
      </c>
      <c r="F43" s="20">
        <v>2000000</v>
      </c>
      <c r="G43" s="20">
        <v>2000000</v>
      </c>
      <c r="H43" s="243"/>
      <c r="I43" s="20"/>
      <c r="J43" s="20"/>
      <c r="K43" s="20"/>
      <c r="L43" s="20"/>
      <c r="M43" s="522">
        <v>2000000</v>
      </c>
      <c r="N43" s="522">
        <v>2000000</v>
      </c>
      <c r="O43" s="522">
        <v>2000000</v>
      </c>
      <c r="P43" s="20">
        <v>8000000</v>
      </c>
      <c r="Q43" s="484">
        <f t="shared" si="27"/>
        <v>2160000</v>
      </c>
      <c r="R43" s="485">
        <f t="shared" si="18"/>
        <v>10160000</v>
      </c>
      <c r="V43" s="359"/>
    </row>
    <row r="44" spans="2:22" s="40" customFormat="1" ht="15">
      <c r="B44" s="46"/>
      <c r="C44" s="47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278"/>
      <c r="T44" s="278"/>
      <c r="U44" s="278"/>
    </row>
    <row r="45" spans="2:22" s="40" customFormat="1" ht="15">
      <c r="B45" s="46"/>
      <c r="C45" s="47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>
        <f>SUM(P28,P17,P6)</f>
        <v>700455540</v>
      </c>
      <c r="Q45" s="48">
        <f>SUM(Q28,Q17,Q6)</f>
        <v>113315534.28</v>
      </c>
      <c r="R45" s="48">
        <f>SUM(R28,R17,R6)</f>
        <v>813771074.27999997</v>
      </c>
      <c r="S45" s="278"/>
      <c r="T45" s="278"/>
      <c r="U45" s="278"/>
    </row>
    <row r="46" spans="2:22" ht="12" customHeight="1">
      <c r="B46" s="49">
        <v>4</v>
      </c>
      <c r="C46" s="60" t="s">
        <v>77</v>
      </c>
      <c r="D46" s="29">
        <f t="shared" ref="D46:R46" si="28">SUM(D47:D48)</f>
        <v>0</v>
      </c>
      <c r="E46" s="29">
        <f t="shared" si="28"/>
        <v>0</v>
      </c>
      <c r="F46" s="29">
        <f t="shared" si="28"/>
        <v>0</v>
      </c>
      <c r="G46" s="29">
        <f t="shared" si="28"/>
        <v>0</v>
      </c>
      <c r="H46" s="29">
        <f t="shared" si="28"/>
        <v>0</v>
      </c>
      <c r="I46" s="29">
        <f t="shared" si="28"/>
        <v>4177004</v>
      </c>
      <c r="J46" s="29">
        <f t="shared" si="28"/>
        <v>0</v>
      </c>
      <c r="K46" s="29">
        <f t="shared" si="28"/>
        <v>0</v>
      </c>
      <c r="L46" s="29">
        <f t="shared" si="28"/>
        <v>2466445</v>
      </c>
      <c r="M46" s="29">
        <f t="shared" si="28"/>
        <v>0</v>
      </c>
      <c r="N46" s="29">
        <f t="shared" si="28"/>
        <v>0</v>
      </c>
      <c r="O46" s="29">
        <f t="shared" si="28"/>
        <v>5780000</v>
      </c>
      <c r="P46" s="15">
        <f t="shared" si="28"/>
        <v>12423449</v>
      </c>
      <c r="Q46" s="15">
        <f>SUM(Q48)</f>
        <v>0</v>
      </c>
      <c r="R46" s="15">
        <f t="shared" si="28"/>
        <v>12423449</v>
      </c>
    </row>
    <row r="47" spans="2:22" s="402" customFormat="1" ht="15">
      <c r="B47" s="403" t="s">
        <v>78</v>
      </c>
      <c r="C47" s="404" t="s">
        <v>79</v>
      </c>
      <c r="D47" s="21"/>
      <c r="E47" s="21"/>
      <c r="F47" s="21"/>
      <c r="G47" s="21"/>
      <c r="H47" s="21"/>
      <c r="I47" s="21">
        <f>515354+111192+445837+8341+2905402+190878</f>
        <v>4177004</v>
      </c>
      <c r="J47" s="21"/>
      <c r="K47" s="21"/>
      <c r="L47" s="21">
        <f>165008+40024+160108+2995+1043376+75910+17838+66506+1244+433403+198367+97768+163898</f>
        <v>2466445</v>
      </c>
      <c r="M47" s="21"/>
      <c r="N47" s="21"/>
      <c r="O47" s="21">
        <v>5780000</v>
      </c>
      <c r="P47" s="21">
        <f>SUM(D47:O47)</f>
        <v>12423449</v>
      </c>
      <c r="Q47" s="21">
        <v>0</v>
      </c>
      <c r="R47" s="21">
        <f>SUM(P47:Q47)</f>
        <v>12423449</v>
      </c>
    </row>
    <row r="48" spans="2:22" s="17" customFormat="1" ht="15">
      <c r="B48" s="403" t="s">
        <v>80</v>
      </c>
      <c r="C48" s="404" t="s">
        <v>81</v>
      </c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>
        <f>SUM(D48:O48)</f>
        <v>0</v>
      </c>
      <c r="Q48" s="21">
        <v>0</v>
      </c>
      <c r="R48" s="21">
        <f t="shared" ref="R48" si="29">SUM(P48:Q48)</f>
        <v>0</v>
      </c>
    </row>
    <row r="49" spans="1:126" ht="15">
      <c r="B49" s="46"/>
      <c r="C49" s="47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</row>
    <row r="50" spans="1:126" s="58" customFormat="1" ht="18.75" customHeight="1">
      <c r="B50" s="370" t="s">
        <v>351</v>
      </c>
      <c r="C50" s="38" t="s">
        <v>82</v>
      </c>
      <c r="D50" s="59">
        <f t="shared" ref="D50:R50" si="30">+D46+D28+D17+D6</f>
        <v>70581045</v>
      </c>
      <c r="E50" s="59">
        <f t="shared" si="30"/>
        <v>58797075.303030305</v>
      </c>
      <c r="F50" s="59">
        <f t="shared" si="30"/>
        <v>61129575.303030305</v>
      </c>
      <c r="G50" s="59">
        <f t="shared" si="30"/>
        <v>57955575.303030305</v>
      </c>
      <c r="H50" s="59">
        <f t="shared" si="30"/>
        <v>54318908.63636364</v>
      </c>
      <c r="I50" s="59">
        <f t="shared" si="30"/>
        <v>59335079.303030305</v>
      </c>
      <c r="J50" s="59">
        <f t="shared" si="30"/>
        <v>53725575.303030305</v>
      </c>
      <c r="K50" s="59">
        <f t="shared" si="30"/>
        <v>53375575.303030305</v>
      </c>
      <c r="L50" s="59">
        <f t="shared" si="30"/>
        <v>58387853.63636364</v>
      </c>
      <c r="M50" s="59">
        <f t="shared" si="30"/>
        <v>57355575.303030305</v>
      </c>
      <c r="N50" s="59">
        <f t="shared" si="30"/>
        <v>57747075.303030305</v>
      </c>
      <c r="O50" s="59">
        <f t="shared" si="30"/>
        <v>82170075.303030312</v>
      </c>
      <c r="P50" s="59">
        <f t="shared" si="30"/>
        <v>712878989</v>
      </c>
      <c r="Q50" s="59">
        <f t="shared" si="30"/>
        <v>113315534.28</v>
      </c>
      <c r="R50" s="59">
        <f t="shared" si="30"/>
        <v>826194523.27999997</v>
      </c>
      <c r="S50" s="367" t="s">
        <v>401</v>
      </c>
      <c r="T50" s="367"/>
      <c r="U50" s="367"/>
      <c r="V50" s="367"/>
      <c r="W50" s="367"/>
      <c r="X50" s="367"/>
      <c r="Y50" s="367"/>
      <c r="Z50" s="367"/>
      <c r="AA50" s="367"/>
      <c r="AB50" s="367"/>
      <c r="AC50" s="367"/>
      <c r="AD50" s="367"/>
      <c r="AE50" s="367"/>
      <c r="AF50" s="367"/>
      <c r="AG50" s="367"/>
      <c r="AH50" s="367"/>
      <c r="AI50" s="367"/>
      <c r="AJ50" s="367"/>
      <c r="AK50" s="367"/>
      <c r="AL50" s="367"/>
      <c r="AM50" s="367"/>
      <c r="AN50" s="367"/>
      <c r="AO50" s="367"/>
      <c r="AP50" s="367"/>
      <c r="AQ50" s="367"/>
      <c r="AR50" s="367"/>
      <c r="AS50" s="367"/>
      <c r="AT50" s="367"/>
      <c r="AU50" s="367"/>
      <c r="AV50" s="367"/>
      <c r="AW50" s="367"/>
      <c r="AX50" s="367"/>
      <c r="AY50" s="367"/>
      <c r="AZ50" s="367"/>
      <c r="BA50" s="367"/>
      <c r="BB50" s="367"/>
      <c r="BC50" s="367"/>
      <c r="BD50" s="367"/>
      <c r="BE50" s="367"/>
      <c r="BF50" s="367"/>
      <c r="BG50" s="367"/>
      <c r="BH50" s="367"/>
      <c r="BI50" s="367"/>
      <c r="BJ50" s="367"/>
      <c r="BK50" s="367"/>
      <c r="BL50" s="367"/>
      <c r="BM50" s="367"/>
      <c r="BN50" s="367"/>
      <c r="BO50" s="367"/>
      <c r="BP50" s="367"/>
      <c r="BQ50" s="367"/>
      <c r="BR50" s="367"/>
      <c r="BS50" s="367"/>
      <c r="BT50" s="367"/>
      <c r="BU50" s="367"/>
      <c r="BV50" s="367"/>
      <c r="BW50" s="367"/>
      <c r="BX50" s="367"/>
      <c r="BY50" s="367"/>
      <c r="BZ50" s="367"/>
      <c r="CA50" s="367"/>
      <c r="CB50" s="367"/>
      <c r="CC50" s="367"/>
      <c r="CD50" s="367"/>
      <c r="CE50" s="367"/>
      <c r="CF50" s="367"/>
      <c r="CG50" s="367"/>
      <c r="CH50" s="367"/>
      <c r="CI50" s="367"/>
      <c r="CJ50" s="367"/>
      <c r="CK50" s="367"/>
      <c r="CL50" s="367"/>
      <c r="CM50" s="367"/>
      <c r="CN50" s="367"/>
      <c r="CO50" s="367"/>
      <c r="CP50" s="367"/>
      <c r="CQ50" s="367"/>
      <c r="CR50" s="367"/>
      <c r="CS50" s="367"/>
      <c r="CT50" s="367"/>
      <c r="CU50" s="367"/>
      <c r="CV50" s="367"/>
      <c r="CW50" s="367"/>
      <c r="CX50" s="367"/>
      <c r="CY50" s="367"/>
      <c r="CZ50" s="367"/>
      <c r="DA50" s="367"/>
      <c r="DB50" s="367"/>
      <c r="DC50" s="367"/>
      <c r="DD50" s="367"/>
      <c r="DE50" s="367"/>
      <c r="DF50" s="367"/>
      <c r="DG50" s="367"/>
      <c r="DH50" s="367"/>
      <c r="DI50" s="367"/>
      <c r="DJ50" s="367"/>
      <c r="DK50" s="367"/>
      <c r="DL50" s="367"/>
      <c r="DM50" s="367"/>
      <c r="DN50" s="367"/>
      <c r="DO50" s="367"/>
      <c r="DP50" s="367"/>
      <c r="DQ50" s="367"/>
      <c r="DR50" s="367"/>
      <c r="DS50" s="367"/>
      <c r="DT50" s="367"/>
      <c r="DU50" s="367"/>
      <c r="DV50" s="367"/>
    </row>
    <row r="51" spans="1:126"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7"/>
      <c r="BK51" s="17"/>
      <c r="BL51" s="17"/>
      <c r="BM51" s="17"/>
      <c r="BN51" s="17"/>
      <c r="BO51" s="17"/>
      <c r="BP51" s="17"/>
      <c r="BQ51" s="17"/>
      <c r="BR51" s="17"/>
      <c r="BS51" s="17"/>
      <c r="BT51" s="17"/>
      <c r="BU51" s="17"/>
      <c r="BV51" s="17"/>
      <c r="BW51" s="17"/>
      <c r="BX51" s="17"/>
      <c r="BY51" s="17"/>
      <c r="BZ51" s="17"/>
      <c r="CA51" s="17"/>
      <c r="CB51" s="17"/>
      <c r="CC51" s="17"/>
      <c r="CD51" s="17"/>
      <c r="CE51" s="17"/>
      <c r="CF51" s="17"/>
      <c r="CG51" s="17"/>
      <c r="CH51" s="17"/>
      <c r="CI51" s="17"/>
      <c r="CJ51" s="17"/>
      <c r="CK51" s="17"/>
      <c r="CL51" s="17"/>
      <c r="CM51" s="17"/>
      <c r="CN51" s="17"/>
      <c r="CO51" s="17"/>
      <c r="CP51" s="17"/>
      <c r="CQ51" s="17"/>
      <c r="CR51" s="17"/>
      <c r="CS51" s="17"/>
      <c r="CT51" s="17"/>
      <c r="CU51" s="17"/>
      <c r="CV51" s="17"/>
      <c r="CW51" s="17"/>
      <c r="CX51" s="17"/>
      <c r="CY51" s="17"/>
      <c r="CZ51" s="17"/>
      <c r="DA51" s="17"/>
      <c r="DB51" s="17"/>
      <c r="DC51" s="17"/>
      <c r="DD51" s="17"/>
      <c r="DE51" s="17"/>
      <c r="DF51" s="17"/>
      <c r="DG51" s="17"/>
      <c r="DH51" s="17"/>
      <c r="DI51" s="17"/>
      <c r="DJ51" s="17"/>
      <c r="DK51" s="17"/>
      <c r="DL51" s="17"/>
      <c r="DM51" s="17"/>
      <c r="DN51" s="17"/>
      <c r="DO51" s="17"/>
      <c r="DP51" s="17"/>
      <c r="DQ51" s="17"/>
      <c r="DR51" s="17"/>
      <c r="DS51" s="17"/>
      <c r="DT51" s="17"/>
      <c r="DU51" s="17"/>
      <c r="DV51" s="17"/>
    </row>
    <row r="52" spans="1:126" s="354" customFormat="1" ht="12.75">
      <c r="A52" s="361"/>
      <c r="B52" s="371">
        <v>5</v>
      </c>
      <c r="C52" s="362" t="s">
        <v>272</v>
      </c>
      <c r="D52" s="379">
        <f>SUM(D53:D55)</f>
        <v>0</v>
      </c>
      <c r="E52" s="379">
        <f t="shared" ref="E52:O52" si="31">SUM(E53:E55)</f>
        <v>0</v>
      </c>
      <c r="F52" s="379">
        <f t="shared" si="31"/>
        <v>10250000</v>
      </c>
      <c r="G52" s="379">
        <f t="shared" si="31"/>
        <v>2600000</v>
      </c>
      <c r="H52" s="379">
        <f t="shared" si="31"/>
        <v>0</v>
      </c>
      <c r="I52" s="379">
        <f t="shared" si="31"/>
        <v>0</v>
      </c>
      <c r="J52" s="379">
        <f t="shared" si="31"/>
        <v>0</v>
      </c>
      <c r="K52" s="379">
        <f t="shared" si="31"/>
        <v>7500000</v>
      </c>
      <c r="L52" s="379">
        <f t="shared" si="31"/>
        <v>0</v>
      </c>
      <c r="M52" s="379">
        <f t="shared" si="31"/>
        <v>0</v>
      </c>
      <c r="N52" s="379">
        <f t="shared" si="31"/>
        <v>0</v>
      </c>
      <c r="O52" s="379">
        <f t="shared" si="31"/>
        <v>0</v>
      </c>
      <c r="P52" s="465">
        <f>SUM(P53:P55)</f>
        <v>20350000</v>
      </c>
      <c r="Q52" s="374">
        <f t="shared" ref="Q52:R52" si="32">SUM(Q53:Q55)</f>
        <v>5494500</v>
      </c>
      <c r="R52" s="374">
        <f t="shared" si="32"/>
        <v>25844500</v>
      </c>
      <c r="S52" s="376"/>
      <c r="T52" s="376"/>
      <c r="U52" s="376"/>
      <c r="V52" s="361"/>
      <c r="W52" s="361"/>
      <c r="X52" s="361"/>
      <c r="Y52" s="361"/>
      <c r="Z52" s="361"/>
      <c r="AA52" s="361"/>
      <c r="AB52" s="361"/>
      <c r="AC52" s="361"/>
      <c r="AD52" s="361"/>
      <c r="AE52" s="361"/>
      <c r="AF52" s="361"/>
      <c r="AG52" s="361"/>
      <c r="AH52" s="361"/>
      <c r="AI52" s="361"/>
      <c r="AJ52" s="361"/>
      <c r="AK52" s="361"/>
      <c r="AL52" s="361"/>
      <c r="AM52" s="361"/>
      <c r="AN52" s="361"/>
      <c r="AO52" s="361"/>
      <c r="AP52" s="361"/>
      <c r="AQ52" s="361"/>
      <c r="AR52" s="361"/>
      <c r="AS52" s="361"/>
      <c r="AT52" s="361"/>
      <c r="AU52" s="361"/>
      <c r="AV52" s="361"/>
      <c r="AW52" s="361"/>
      <c r="AX52" s="361"/>
      <c r="AY52" s="361"/>
      <c r="AZ52" s="361"/>
      <c r="BA52" s="361"/>
      <c r="BB52" s="361"/>
      <c r="BC52" s="361"/>
      <c r="BD52" s="361"/>
      <c r="BE52" s="361"/>
      <c r="BF52" s="361"/>
      <c r="BG52" s="361"/>
      <c r="BH52" s="361"/>
      <c r="BI52" s="361"/>
      <c r="BJ52" s="361"/>
      <c r="BK52" s="361"/>
      <c r="BL52" s="361"/>
      <c r="BM52" s="361"/>
      <c r="BN52" s="361"/>
      <c r="BO52" s="361"/>
      <c r="BP52" s="361"/>
      <c r="BQ52" s="361"/>
      <c r="BR52" s="361"/>
      <c r="BS52" s="361"/>
      <c r="BT52" s="361"/>
      <c r="BU52" s="361"/>
      <c r="BV52" s="361"/>
      <c r="BW52" s="361"/>
      <c r="BX52" s="361"/>
      <c r="BY52" s="361"/>
      <c r="BZ52" s="361"/>
      <c r="CA52" s="361"/>
      <c r="CB52" s="361"/>
      <c r="CC52" s="361"/>
      <c r="CD52" s="361"/>
      <c r="CE52" s="361"/>
      <c r="CF52" s="361"/>
      <c r="CG52" s="361"/>
      <c r="CH52" s="361"/>
      <c r="CI52" s="361"/>
      <c r="CJ52" s="361"/>
      <c r="CK52" s="361"/>
      <c r="CL52" s="361"/>
      <c r="CM52" s="361"/>
      <c r="CN52" s="361"/>
      <c r="CO52" s="361"/>
      <c r="CP52" s="361"/>
      <c r="CQ52" s="361"/>
      <c r="CR52" s="361"/>
      <c r="CS52" s="361"/>
      <c r="CT52" s="361"/>
      <c r="CU52" s="361"/>
      <c r="CV52" s="361"/>
      <c r="CW52" s="361"/>
      <c r="CX52" s="361"/>
      <c r="CY52" s="361"/>
      <c r="CZ52" s="361"/>
      <c r="DA52" s="361"/>
      <c r="DB52" s="361"/>
      <c r="DC52" s="361"/>
      <c r="DD52" s="361"/>
      <c r="DE52" s="361"/>
      <c r="DF52" s="361"/>
      <c r="DG52" s="361"/>
      <c r="DH52" s="361"/>
      <c r="DI52" s="361"/>
      <c r="DJ52" s="361"/>
      <c r="DK52" s="361"/>
      <c r="DL52" s="361"/>
      <c r="DM52" s="361"/>
      <c r="DN52" s="361"/>
      <c r="DO52" s="361"/>
      <c r="DP52" s="361"/>
      <c r="DQ52" s="361"/>
      <c r="DR52" s="361"/>
      <c r="DS52" s="361"/>
      <c r="DT52" s="361"/>
      <c r="DU52" s="361"/>
      <c r="DV52" s="361"/>
    </row>
    <row r="53" spans="1:126" s="284" customFormat="1" ht="12.75">
      <c r="B53" s="372" t="s">
        <v>83</v>
      </c>
      <c r="C53" s="286" t="s">
        <v>308</v>
      </c>
      <c r="D53" s="285"/>
      <c r="E53" s="285"/>
      <c r="F53" s="285"/>
      <c r="G53" s="285">
        <v>2600000</v>
      </c>
      <c r="H53" s="285"/>
      <c r="I53" s="285"/>
      <c r="J53" s="285"/>
      <c r="K53" s="285">
        <v>7500000</v>
      </c>
      <c r="L53" s="285"/>
      <c r="M53" s="285"/>
      <c r="N53" s="285"/>
      <c r="O53" s="285"/>
      <c r="P53" s="378">
        <f>SUM(D53:O53)</f>
        <v>10100000</v>
      </c>
      <c r="Q53" s="378">
        <f>+P53*0.27</f>
        <v>2727000</v>
      </c>
      <c r="R53" s="378">
        <f>SUM(P53:Q53)</f>
        <v>12827000</v>
      </c>
      <c r="S53" s="377"/>
      <c r="T53" s="377"/>
      <c r="U53" s="377"/>
      <c r="V53" s="368"/>
      <c r="W53" s="368"/>
      <c r="X53" s="368"/>
      <c r="Y53" s="368"/>
      <c r="Z53" s="368"/>
      <c r="AA53" s="368"/>
      <c r="AB53" s="368"/>
      <c r="AC53" s="368"/>
      <c r="AD53" s="368"/>
      <c r="AE53" s="368"/>
      <c r="AF53" s="368"/>
      <c r="AG53" s="368"/>
      <c r="AH53" s="368"/>
      <c r="AI53" s="368"/>
      <c r="AJ53" s="368"/>
      <c r="AK53" s="368"/>
      <c r="AL53" s="368"/>
      <c r="AM53" s="368"/>
      <c r="AN53" s="368"/>
      <c r="AO53" s="368"/>
      <c r="AP53" s="368"/>
      <c r="AQ53" s="368"/>
      <c r="AR53" s="368"/>
      <c r="AS53" s="368"/>
      <c r="AT53" s="368"/>
      <c r="AU53" s="368"/>
      <c r="AV53" s="368"/>
      <c r="AW53" s="368"/>
      <c r="AX53" s="368"/>
      <c r="AY53" s="368"/>
      <c r="AZ53" s="368"/>
      <c r="BA53" s="368"/>
      <c r="BB53" s="368"/>
      <c r="BC53" s="368"/>
      <c r="BD53" s="368"/>
      <c r="BE53" s="368"/>
      <c r="BF53" s="368"/>
      <c r="BG53" s="368"/>
      <c r="BH53" s="368"/>
      <c r="BI53" s="368"/>
      <c r="BJ53" s="368"/>
      <c r="BK53" s="368"/>
      <c r="BL53" s="368"/>
      <c r="BM53" s="368"/>
      <c r="BN53" s="368"/>
      <c r="BO53" s="368"/>
      <c r="BP53" s="368"/>
      <c r="BQ53" s="368"/>
      <c r="BR53" s="368"/>
      <c r="BS53" s="368"/>
      <c r="BT53" s="368"/>
      <c r="BU53" s="368"/>
      <c r="BV53" s="368"/>
      <c r="BW53" s="368"/>
      <c r="BX53" s="368"/>
      <c r="BY53" s="368"/>
      <c r="BZ53" s="368"/>
      <c r="CA53" s="368"/>
      <c r="CB53" s="368"/>
      <c r="CC53" s="368"/>
      <c r="CD53" s="368"/>
      <c r="CE53" s="368"/>
      <c r="CF53" s="368"/>
      <c r="CG53" s="368"/>
      <c r="CH53" s="368"/>
      <c r="CI53" s="368"/>
      <c r="CJ53" s="368"/>
      <c r="CK53" s="368"/>
      <c r="CL53" s="368"/>
      <c r="CM53" s="368"/>
      <c r="CN53" s="368"/>
      <c r="CO53" s="368"/>
      <c r="CP53" s="368"/>
      <c r="CQ53" s="368"/>
      <c r="CR53" s="368"/>
      <c r="CS53" s="368"/>
      <c r="CT53" s="368"/>
      <c r="CU53" s="368"/>
      <c r="CV53" s="368"/>
      <c r="CW53" s="368"/>
      <c r="CX53" s="368"/>
      <c r="CY53" s="368"/>
      <c r="CZ53" s="368"/>
      <c r="DA53" s="368"/>
      <c r="DB53" s="368"/>
      <c r="DC53" s="368"/>
      <c r="DD53" s="368"/>
      <c r="DE53" s="368"/>
      <c r="DF53" s="368"/>
      <c r="DG53" s="368"/>
      <c r="DH53" s="368"/>
      <c r="DI53" s="368"/>
      <c r="DJ53" s="368"/>
      <c r="DK53" s="368"/>
      <c r="DL53" s="368"/>
      <c r="DM53" s="368"/>
      <c r="DN53" s="368"/>
      <c r="DO53" s="368"/>
      <c r="DP53" s="368"/>
      <c r="DQ53" s="368"/>
      <c r="DR53" s="368"/>
      <c r="DS53" s="368"/>
      <c r="DT53" s="368"/>
      <c r="DU53" s="368"/>
      <c r="DV53" s="368"/>
    </row>
    <row r="54" spans="1:126" s="284" customFormat="1" ht="12.75">
      <c r="B54" s="372" t="s">
        <v>376</v>
      </c>
      <c r="C54" s="464" t="s">
        <v>377</v>
      </c>
      <c r="D54" s="420"/>
      <c r="E54" s="420"/>
      <c r="F54" s="420">
        <f>55*150000</f>
        <v>8250000</v>
      </c>
      <c r="G54" s="420"/>
      <c r="H54" s="420"/>
      <c r="I54" s="420"/>
      <c r="J54" s="420"/>
      <c r="K54" s="420"/>
      <c r="L54" s="420"/>
      <c r="M54" s="420"/>
      <c r="N54" s="420"/>
      <c r="O54" s="420"/>
      <c r="P54" s="378">
        <f t="shared" ref="P54:P55" si="33">SUM(D54:O54)</f>
        <v>8250000</v>
      </c>
      <c r="Q54" s="378">
        <f t="shared" ref="Q54:Q55" si="34">+P54*0.27</f>
        <v>2227500</v>
      </c>
      <c r="R54" s="378">
        <f t="shared" ref="R54:R55" si="35">SUM(P54:Q54)</f>
        <v>10477500</v>
      </c>
      <c r="S54" s="377"/>
      <c r="T54" s="377"/>
      <c r="U54" s="377"/>
      <c r="V54" s="368"/>
      <c r="W54" s="368"/>
      <c r="X54" s="368"/>
      <c r="Y54" s="368"/>
      <c r="Z54" s="368"/>
      <c r="AA54" s="368"/>
      <c r="AB54" s="368"/>
      <c r="AC54" s="368"/>
      <c r="AD54" s="368"/>
      <c r="AE54" s="368"/>
      <c r="AF54" s="368"/>
      <c r="AG54" s="368"/>
      <c r="AH54" s="368"/>
      <c r="AI54" s="368"/>
      <c r="AJ54" s="368"/>
      <c r="AK54" s="368"/>
      <c r="AL54" s="368"/>
      <c r="AM54" s="368"/>
      <c r="AN54" s="368"/>
      <c r="AO54" s="368"/>
      <c r="AP54" s="368"/>
      <c r="AQ54" s="368"/>
      <c r="AR54" s="368"/>
      <c r="AS54" s="368"/>
      <c r="AT54" s="368"/>
      <c r="AU54" s="368"/>
      <c r="AV54" s="368"/>
      <c r="AW54" s="368"/>
      <c r="AX54" s="368"/>
      <c r="AY54" s="368"/>
      <c r="AZ54" s="368"/>
      <c r="BA54" s="368"/>
      <c r="BB54" s="368"/>
      <c r="BC54" s="368"/>
      <c r="BD54" s="368"/>
      <c r="BE54" s="368"/>
      <c r="BF54" s="368"/>
      <c r="BG54" s="368"/>
      <c r="BH54" s="368"/>
      <c r="BI54" s="368"/>
      <c r="BJ54" s="368"/>
      <c r="BK54" s="368"/>
      <c r="BL54" s="368"/>
      <c r="BM54" s="368"/>
      <c r="BN54" s="368"/>
      <c r="BO54" s="368"/>
      <c r="BP54" s="368"/>
      <c r="BQ54" s="368"/>
      <c r="BR54" s="368"/>
      <c r="BS54" s="368"/>
      <c r="BT54" s="368"/>
      <c r="BU54" s="368"/>
      <c r="BV54" s="368"/>
      <c r="BW54" s="368"/>
      <c r="BX54" s="368"/>
      <c r="BY54" s="368"/>
      <c r="BZ54" s="368"/>
      <c r="CA54" s="368"/>
      <c r="CB54" s="368"/>
      <c r="CC54" s="368"/>
      <c r="CD54" s="368"/>
      <c r="CE54" s="368"/>
      <c r="CF54" s="368"/>
      <c r="CG54" s="368"/>
      <c r="CH54" s="368"/>
      <c r="CI54" s="368"/>
      <c r="CJ54" s="368"/>
      <c r="CK54" s="368"/>
      <c r="CL54" s="368"/>
      <c r="CM54" s="368"/>
      <c r="CN54" s="368"/>
      <c r="CO54" s="368"/>
      <c r="CP54" s="368"/>
      <c r="CQ54" s="368"/>
      <c r="CR54" s="368"/>
      <c r="CS54" s="368"/>
      <c r="CT54" s="368"/>
      <c r="CU54" s="368"/>
      <c r="CV54" s="368"/>
      <c r="CW54" s="368"/>
      <c r="CX54" s="368"/>
      <c r="CY54" s="368"/>
      <c r="CZ54" s="368"/>
      <c r="DA54" s="368"/>
      <c r="DB54" s="368"/>
      <c r="DC54" s="368"/>
      <c r="DD54" s="368"/>
      <c r="DE54" s="368"/>
      <c r="DF54" s="368"/>
      <c r="DG54" s="368"/>
      <c r="DH54" s="368"/>
      <c r="DI54" s="368"/>
      <c r="DJ54" s="368"/>
      <c r="DK54" s="368"/>
      <c r="DL54" s="368"/>
      <c r="DM54" s="368"/>
      <c r="DN54" s="368"/>
      <c r="DO54" s="368"/>
      <c r="DP54" s="368"/>
      <c r="DQ54" s="368"/>
      <c r="DR54" s="368"/>
      <c r="DS54" s="368"/>
      <c r="DT54" s="368"/>
      <c r="DU54" s="368"/>
      <c r="DV54" s="368"/>
    </row>
    <row r="55" spans="1:126" s="284" customFormat="1" ht="12.75">
      <c r="B55" s="372" t="s">
        <v>86</v>
      </c>
      <c r="C55" s="464" t="s">
        <v>378</v>
      </c>
      <c r="D55" s="420"/>
      <c r="E55" s="420"/>
      <c r="F55" s="420">
        <f>50*40000</f>
        <v>2000000</v>
      </c>
      <c r="G55" s="420"/>
      <c r="H55" s="420"/>
      <c r="I55" s="420"/>
      <c r="J55" s="420"/>
      <c r="K55" s="420"/>
      <c r="L55" s="420"/>
      <c r="M55" s="420"/>
      <c r="N55" s="420"/>
      <c r="O55" s="420"/>
      <c r="P55" s="378">
        <f t="shared" si="33"/>
        <v>2000000</v>
      </c>
      <c r="Q55" s="378">
        <f t="shared" si="34"/>
        <v>540000</v>
      </c>
      <c r="R55" s="378">
        <f t="shared" si="35"/>
        <v>2540000</v>
      </c>
      <c r="S55" s="377"/>
      <c r="T55" s="377"/>
      <c r="U55" s="377"/>
      <c r="V55" s="368"/>
      <c r="W55" s="368"/>
      <c r="X55" s="368"/>
      <c r="Y55" s="368"/>
      <c r="Z55" s="368"/>
      <c r="AA55" s="368"/>
      <c r="AB55" s="368"/>
      <c r="AC55" s="368"/>
      <c r="AD55" s="368"/>
      <c r="AE55" s="368"/>
      <c r="AF55" s="368"/>
      <c r="AG55" s="368"/>
      <c r="AH55" s="368"/>
      <c r="AI55" s="368"/>
      <c r="AJ55" s="368"/>
      <c r="AK55" s="368"/>
      <c r="AL55" s="368"/>
      <c r="AM55" s="368"/>
      <c r="AN55" s="368"/>
      <c r="AO55" s="368"/>
      <c r="AP55" s="368"/>
      <c r="AQ55" s="368"/>
      <c r="AR55" s="368"/>
      <c r="AS55" s="368"/>
      <c r="AT55" s="368"/>
      <c r="AU55" s="368"/>
      <c r="AV55" s="368"/>
      <c r="AW55" s="368"/>
      <c r="AX55" s="368"/>
      <c r="AY55" s="368"/>
      <c r="AZ55" s="368"/>
      <c r="BA55" s="368"/>
      <c r="BB55" s="368"/>
      <c r="BC55" s="368"/>
      <c r="BD55" s="368"/>
      <c r="BE55" s="368"/>
      <c r="BF55" s="368"/>
      <c r="BG55" s="368"/>
      <c r="BH55" s="368"/>
      <c r="BI55" s="368"/>
      <c r="BJ55" s="368"/>
      <c r="BK55" s="368"/>
      <c r="BL55" s="368"/>
      <c r="BM55" s="368"/>
      <c r="BN55" s="368"/>
      <c r="BO55" s="368"/>
      <c r="BP55" s="368"/>
      <c r="BQ55" s="368"/>
      <c r="BR55" s="368"/>
      <c r="BS55" s="368"/>
      <c r="BT55" s="368"/>
      <c r="BU55" s="368"/>
      <c r="BV55" s="368"/>
      <c r="BW55" s="368"/>
      <c r="BX55" s="368"/>
      <c r="BY55" s="368"/>
      <c r="BZ55" s="368"/>
      <c r="CA55" s="368"/>
      <c r="CB55" s="368"/>
      <c r="CC55" s="368"/>
      <c r="CD55" s="368"/>
      <c r="CE55" s="368"/>
      <c r="CF55" s="368"/>
      <c r="CG55" s="368"/>
      <c r="CH55" s="368"/>
      <c r="CI55" s="368"/>
      <c r="CJ55" s="368"/>
      <c r="CK55" s="368"/>
      <c r="CL55" s="368"/>
      <c r="CM55" s="368"/>
      <c r="CN55" s="368"/>
      <c r="CO55" s="368"/>
      <c r="CP55" s="368"/>
      <c r="CQ55" s="368"/>
      <c r="CR55" s="368"/>
      <c r="CS55" s="368"/>
      <c r="CT55" s="368"/>
      <c r="CU55" s="368"/>
      <c r="CV55" s="368"/>
      <c r="CW55" s="368"/>
      <c r="CX55" s="368"/>
      <c r="CY55" s="368"/>
      <c r="CZ55" s="368"/>
      <c r="DA55" s="368"/>
      <c r="DB55" s="368"/>
      <c r="DC55" s="368"/>
      <c r="DD55" s="368"/>
      <c r="DE55" s="368"/>
      <c r="DF55" s="368"/>
      <c r="DG55" s="368"/>
      <c r="DH55" s="368"/>
      <c r="DI55" s="368"/>
      <c r="DJ55" s="368"/>
      <c r="DK55" s="368"/>
      <c r="DL55" s="368"/>
      <c r="DM55" s="368"/>
      <c r="DN55" s="368"/>
      <c r="DO55" s="368"/>
      <c r="DP55" s="368"/>
      <c r="DQ55" s="368"/>
      <c r="DR55" s="368"/>
      <c r="DS55" s="368"/>
      <c r="DT55" s="368"/>
      <c r="DU55" s="368"/>
      <c r="DV55" s="368"/>
    </row>
    <row r="56" spans="1:126" s="156" customFormat="1" ht="12.75">
      <c r="P56" s="283"/>
      <c r="S56" s="364"/>
      <c r="T56" s="364"/>
      <c r="U56" s="364"/>
      <c r="V56" s="369"/>
      <c r="W56" s="369"/>
      <c r="X56" s="369"/>
      <c r="Y56" s="369"/>
      <c r="Z56" s="369"/>
      <c r="AA56" s="369"/>
      <c r="AB56" s="369"/>
      <c r="AC56" s="369"/>
      <c r="AD56" s="369"/>
      <c r="AE56" s="369"/>
      <c r="AF56" s="369"/>
      <c r="AG56" s="369"/>
      <c r="AH56" s="369"/>
      <c r="AI56" s="369"/>
      <c r="AJ56" s="369"/>
      <c r="AK56" s="369"/>
      <c r="AL56" s="369"/>
      <c r="AM56" s="369"/>
      <c r="AN56" s="369"/>
      <c r="AO56" s="369"/>
      <c r="AP56" s="369"/>
      <c r="AQ56" s="369"/>
      <c r="AR56" s="369"/>
      <c r="AS56" s="369"/>
      <c r="AT56" s="369"/>
      <c r="AU56" s="369"/>
      <c r="AV56" s="369"/>
      <c r="AW56" s="369"/>
      <c r="AX56" s="369"/>
      <c r="AY56" s="369"/>
      <c r="AZ56" s="369"/>
      <c r="BA56" s="369"/>
      <c r="BB56" s="369"/>
      <c r="BC56" s="369"/>
      <c r="BD56" s="369"/>
      <c r="BE56" s="369"/>
      <c r="BF56" s="369"/>
      <c r="BG56" s="369"/>
      <c r="BH56" s="369"/>
      <c r="BI56" s="369"/>
      <c r="BJ56" s="369"/>
      <c r="BK56" s="369"/>
      <c r="BL56" s="369"/>
      <c r="BM56" s="369"/>
      <c r="BN56" s="369"/>
      <c r="BO56" s="369"/>
      <c r="BP56" s="369"/>
      <c r="BQ56" s="369"/>
      <c r="BR56" s="369"/>
      <c r="BS56" s="369"/>
      <c r="BT56" s="369"/>
      <c r="BU56" s="369"/>
      <c r="BV56" s="369"/>
      <c r="BW56" s="369"/>
      <c r="BX56" s="369"/>
      <c r="BY56" s="369"/>
      <c r="BZ56" s="369"/>
      <c r="CA56" s="369"/>
      <c r="CB56" s="369"/>
      <c r="CC56" s="369"/>
      <c r="CD56" s="369"/>
      <c r="CE56" s="369"/>
      <c r="CF56" s="369"/>
      <c r="CG56" s="369"/>
      <c r="CH56" s="369"/>
      <c r="CI56" s="369"/>
      <c r="CJ56" s="369"/>
      <c r="CK56" s="369"/>
      <c r="CL56" s="369"/>
      <c r="CM56" s="369"/>
      <c r="CN56" s="369"/>
      <c r="CO56" s="369"/>
      <c r="CP56" s="369"/>
      <c r="CQ56" s="369"/>
      <c r="CR56" s="369"/>
      <c r="CS56" s="369"/>
      <c r="CT56" s="369"/>
      <c r="CU56" s="369"/>
      <c r="CV56" s="369"/>
      <c r="CW56" s="369"/>
      <c r="CX56" s="369"/>
      <c r="CY56" s="369"/>
      <c r="CZ56" s="369"/>
      <c r="DA56" s="369"/>
      <c r="DB56" s="369"/>
      <c r="DC56" s="369"/>
      <c r="DD56" s="369"/>
      <c r="DE56" s="369"/>
      <c r="DF56" s="369"/>
      <c r="DG56" s="369"/>
      <c r="DH56" s="369"/>
      <c r="DI56" s="369"/>
      <c r="DJ56" s="369"/>
      <c r="DK56" s="369"/>
      <c r="DL56" s="369"/>
      <c r="DM56" s="369"/>
      <c r="DN56" s="369"/>
      <c r="DO56" s="369"/>
      <c r="DP56" s="369"/>
      <c r="DQ56" s="369"/>
      <c r="DR56" s="369"/>
      <c r="DS56" s="369"/>
      <c r="DT56" s="369"/>
      <c r="DU56" s="369"/>
      <c r="DV56" s="369"/>
    </row>
    <row r="57" spans="1:126" s="156" customFormat="1" ht="12.75">
      <c r="B57" s="373" t="s">
        <v>352</v>
      </c>
      <c r="C57" s="365" t="s">
        <v>349</v>
      </c>
      <c r="D57" s="366">
        <f>+D52+D50</f>
        <v>70581045</v>
      </c>
      <c r="E57" s="366">
        <f t="shared" ref="E57:O57" si="36">+E50+E52</f>
        <v>58797075.303030305</v>
      </c>
      <c r="F57" s="366">
        <f t="shared" si="36"/>
        <v>71379575.303030312</v>
      </c>
      <c r="G57" s="366">
        <f t="shared" si="36"/>
        <v>60555575.303030305</v>
      </c>
      <c r="H57" s="366">
        <f t="shared" si="36"/>
        <v>54318908.63636364</v>
      </c>
      <c r="I57" s="366">
        <f t="shared" si="36"/>
        <v>59335079.303030305</v>
      </c>
      <c r="J57" s="366">
        <f t="shared" si="36"/>
        <v>53725575.303030305</v>
      </c>
      <c r="K57" s="366">
        <f t="shared" si="36"/>
        <v>60875575.303030305</v>
      </c>
      <c r="L57" s="366">
        <f t="shared" si="36"/>
        <v>58387853.63636364</v>
      </c>
      <c r="M57" s="366">
        <f t="shared" si="36"/>
        <v>57355575.303030305</v>
      </c>
      <c r="N57" s="366">
        <f t="shared" si="36"/>
        <v>57747075.303030305</v>
      </c>
      <c r="O57" s="366">
        <f t="shared" si="36"/>
        <v>82170075.303030312</v>
      </c>
      <c r="P57" s="366">
        <f>SUM(D57:O57)</f>
        <v>745228989</v>
      </c>
      <c r="Q57" s="366">
        <f>+Q50+Q52</f>
        <v>118810034.28</v>
      </c>
      <c r="R57" s="366">
        <f>+R50+R52</f>
        <v>852039023.27999997</v>
      </c>
      <c r="S57" s="364"/>
      <c r="T57" s="364"/>
      <c r="U57" s="364"/>
      <c r="V57" s="369"/>
      <c r="W57" s="369"/>
      <c r="X57" s="369"/>
      <c r="Y57" s="369"/>
      <c r="Z57" s="369"/>
      <c r="AA57" s="369"/>
      <c r="AB57" s="369"/>
      <c r="AC57" s="369"/>
      <c r="AD57" s="369"/>
      <c r="AE57" s="369"/>
      <c r="AF57" s="369"/>
      <c r="AG57" s="369"/>
      <c r="AH57" s="369"/>
      <c r="AI57" s="369"/>
      <c r="AJ57" s="369"/>
      <c r="AK57" s="369"/>
      <c r="AL57" s="369"/>
      <c r="AM57" s="369"/>
      <c r="AN57" s="369"/>
      <c r="AO57" s="369"/>
      <c r="AP57" s="369"/>
      <c r="AQ57" s="369"/>
      <c r="AR57" s="369"/>
      <c r="AS57" s="369"/>
      <c r="AT57" s="369"/>
      <c r="AU57" s="369"/>
      <c r="AV57" s="369"/>
      <c r="AW57" s="369"/>
      <c r="AX57" s="369"/>
      <c r="AY57" s="369"/>
      <c r="AZ57" s="369"/>
      <c r="BA57" s="369"/>
      <c r="BB57" s="369"/>
      <c r="BC57" s="369"/>
      <c r="BD57" s="369"/>
      <c r="BE57" s="369"/>
      <c r="BF57" s="369"/>
      <c r="BG57" s="369"/>
      <c r="BH57" s="369"/>
      <c r="BI57" s="369"/>
      <c r="BJ57" s="369"/>
      <c r="BK57" s="369"/>
      <c r="BL57" s="369"/>
      <c r="BM57" s="369"/>
      <c r="BN57" s="369"/>
      <c r="BO57" s="369"/>
      <c r="BP57" s="369"/>
      <c r="BQ57" s="369"/>
      <c r="BR57" s="369"/>
      <c r="BS57" s="369"/>
      <c r="BT57" s="369"/>
      <c r="BU57" s="369"/>
      <c r="BV57" s="369"/>
      <c r="BW57" s="369"/>
      <c r="BX57" s="369"/>
      <c r="BY57" s="369"/>
      <c r="BZ57" s="369"/>
      <c r="CA57" s="369"/>
      <c r="CB57" s="369"/>
      <c r="CC57" s="369"/>
      <c r="CD57" s="369"/>
      <c r="CE57" s="369"/>
      <c r="CF57" s="369"/>
      <c r="CG57" s="369"/>
      <c r="CH57" s="369"/>
      <c r="CI57" s="369"/>
      <c r="CJ57" s="369"/>
      <c r="CK57" s="369"/>
      <c r="CL57" s="369"/>
      <c r="CM57" s="369"/>
      <c r="CN57" s="369"/>
      <c r="CO57" s="369"/>
      <c r="CP57" s="369"/>
      <c r="CQ57" s="369"/>
      <c r="CR57" s="369"/>
      <c r="CS57" s="369"/>
      <c r="CT57" s="369"/>
      <c r="CU57" s="369"/>
      <c r="CV57" s="369"/>
      <c r="CW57" s="369"/>
      <c r="CX57" s="369"/>
      <c r="CY57" s="369"/>
      <c r="CZ57" s="369"/>
      <c r="DA57" s="369"/>
      <c r="DB57" s="369"/>
      <c r="DC57" s="369"/>
      <c r="DD57" s="369"/>
      <c r="DE57" s="369"/>
      <c r="DF57" s="369"/>
      <c r="DG57" s="369"/>
      <c r="DH57" s="369"/>
      <c r="DI57" s="369"/>
      <c r="DJ57" s="369"/>
      <c r="DK57" s="369"/>
      <c r="DL57" s="369"/>
      <c r="DM57" s="369"/>
      <c r="DN57" s="369"/>
      <c r="DO57" s="369"/>
      <c r="DP57" s="369"/>
      <c r="DQ57" s="369"/>
      <c r="DR57" s="369"/>
      <c r="DS57" s="369"/>
      <c r="DT57" s="369"/>
      <c r="DU57" s="369"/>
      <c r="DV57" s="369"/>
    </row>
    <row r="58" spans="1:126" s="156" customFormat="1" ht="12.75">
      <c r="P58" s="283"/>
      <c r="S58" s="364"/>
      <c r="T58" s="364"/>
      <c r="U58" s="364"/>
      <c r="V58" s="369"/>
      <c r="W58" s="369"/>
      <c r="X58" s="369"/>
      <c r="Y58" s="369"/>
      <c r="Z58" s="369"/>
      <c r="AA58" s="369"/>
      <c r="AB58" s="369"/>
      <c r="AC58" s="369"/>
      <c r="AD58" s="369"/>
      <c r="AE58" s="369"/>
      <c r="AF58" s="369"/>
      <c r="AG58" s="369"/>
      <c r="AH58" s="369"/>
      <c r="AI58" s="369"/>
      <c r="AJ58" s="369"/>
      <c r="AK58" s="369"/>
      <c r="AL58" s="369"/>
      <c r="AM58" s="369"/>
      <c r="AN58" s="369"/>
      <c r="AO58" s="369"/>
      <c r="AP58" s="369"/>
      <c r="AQ58" s="369"/>
      <c r="AR58" s="369"/>
      <c r="AS58" s="369"/>
      <c r="AT58" s="369"/>
      <c r="AU58" s="369"/>
      <c r="AV58" s="369"/>
      <c r="AW58" s="369"/>
      <c r="AX58" s="369"/>
      <c r="AY58" s="369"/>
      <c r="AZ58" s="369"/>
      <c r="BA58" s="369"/>
      <c r="BB58" s="369"/>
      <c r="BC58" s="369"/>
      <c r="BD58" s="369"/>
      <c r="BE58" s="369"/>
      <c r="BF58" s="369"/>
      <c r="BG58" s="369"/>
      <c r="BH58" s="369"/>
      <c r="BI58" s="369"/>
      <c r="BJ58" s="369"/>
      <c r="BK58" s="369"/>
      <c r="BL58" s="369"/>
      <c r="BM58" s="369"/>
      <c r="BN58" s="369"/>
      <c r="BO58" s="369"/>
      <c r="BP58" s="369"/>
      <c r="BQ58" s="369"/>
      <c r="BR58" s="369"/>
      <c r="BS58" s="369"/>
      <c r="BT58" s="369"/>
      <c r="BU58" s="369"/>
      <c r="BV58" s="369"/>
      <c r="BW58" s="369"/>
      <c r="BX58" s="369"/>
      <c r="BY58" s="369"/>
      <c r="BZ58" s="369"/>
      <c r="CA58" s="369"/>
      <c r="CB58" s="369"/>
      <c r="CC58" s="369"/>
      <c r="CD58" s="369"/>
      <c r="CE58" s="369"/>
      <c r="CF58" s="369"/>
      <c r="CG58" s="369"/>
      <c r="CH58" s="369"/>
      <c r="CI58" s="369"/>
      <c r="CJ58" s="369"/>
      <c r="CK58" s="369"/>
      <c r="CL58" s="369"/>
      <c r="CM58" s="369"/>
      <c r="CN58" s="369"/>
      <c r="CO58" s="369"/>
      <c r="CP58" s="369"/>
      <c r="CQ58" s="369"/>
      <c r="CR58" s="369"/>
      <c r="CS58" s="369"/>
      <c r="CT58" s="369"/>
      <c r="CU58" s="369"/>
      <c r="CV58" s="369"/>
      <c r="CW58" s="369"/>
      <c r="CX58" s="369"/>
      <c r="CY58" s="369"/>
      <c r="CZ58" s="369"/>
      <c r="DA58" s="369"/>
      <c r="DB58" s="369"/>
      <c r="DC58" s="369"/>
      <c r="DD58" s="369"/>
      <c r="DE58" s="369"/>
      <c r="DF58" s="369"/>
      <c r="DG58" s="369"/>
      <c r="DH58" s="369"/>
      <c r="DI58" s="369"/>
      <c r="DJ58" s="369"/>
      <c r="DK58" s="369"/>
      <c r="DL58" s="369"/>
      <c r="DM58" s="369"/>
      <c r="DN58" s="369"/>
      <c r="DO58" s="369"/>
      <c r="DP58" s="369"/>
      <c r="DQ58" s="369"/>
      <c r="DR58" s="369"/>
      <c r="DS58" s="369"/>
      <c r="DT58" s="369"/>
      <c r="DU58" s="369"/>
      <c r="DV58" s="369"/>
    </row>
    <row r="59" spans="1:126" s="156" customFormat="1" ht="12.75">
      <c r="P59" s="283"/>
      <c r="S59" s="369"/>
      <c r="T59" s="369"/>
      <c r="U59" s="369"/>
      <c r="V59" s="369"/>
      <c r="W59" s="369"/>
      <c r="X59" s="369"/>
      <c r="Y59" s="369"/>
      <c r="Z59" s="369"/>
      <c r="AA59" s="369"/>
      <c r="AB59" s="369"/>
      <c r="AC59" s="369"/>
      <c r="AD59" s="369"/>
      <c r="AE59" s="369"/>
      <c r="AF59" s="369"/>
      <c r="AG59" s="369"/>
      <c r="AH59" s="369"/>
      <c r="AI59" s="369"/>
      <c r="AJ59" s="369"/>
      <c r="AK59" s="369"/>
      <c r="AL59" s="369"/>
      <c r="AM59" s="369"/>
      <c r="AN59" s="369"/>
      <c r="AO59" s="369"/>
      <c r="AP59" s="369"/>
      <c r="AQ59" s="369"/>
      <c r="AR59" s="369"/>
      <c r="AS59" s="369"/>
      <c r="AT59" s="369"/>
      <c r="AU59" s="369"/>
      <c r="AV59" s="369"/>
      <c r="AW59" s="369"/>
      <c r="AX59" s="369"/>
      <c r="AY59" s="369"/>
      <c r="AZ59" s="369"/>
      <c r="BA59" s="369"/>
      <c r="BB59" s="369"/>
      <c r="BC59" s="369"/>
      <c r="BD59" s="369"/>
      <c r="BE59" s="369"/>
      <c r="BF59" s="369"/>
      <c r="BG59" s="369"/>
      <c r="BH59" s="369"/>
      <c r="BI59" s="369"/>
      <c r="BJ59" s="369"/>
      <c r="BK59" s="369"/>
      <c r="BL59" s="369"/>
      <c r="BM59" s="369"/>
      <c r="BN59" s="369"/>
      <c r="BO59" s="369"/>
      <c r="BP59" s="369"/>
      <c r="BQ59" s="369"/>
      <c r="BR59" s="369"/>
      <c r="BS59" s="369"/>
      <c r="BT59" s="369"/>
      <c r="BU59" s="369"/>
      <c r="BV59" s="369"/>
      <c r="BW59" s="369"/>
      <c r="BX59" s="369"/>
      <c r="BY59" s="369"/>
      <c r="BZ59" s="369"/>
      <c r="CA59" s="369"/>
      <c r="CB59" s="369"/>
      <c r="CC59" s="369"/>
      <c r="CD59" s="369"/>
      <c r="CE59" s="369"/>
      <c r="CF59" s="369"/>
      <c r="CG59" s="369"/>
      <c r="CH59" s="369"/>
      <c r="CI59" s="369"/>
      <c r="CJ59" s="369"/>
      <c r="CK59" s="369"/>
      <c r="CL59" s="369"/>
      <c r="CM59" s="369"/>
      <c r="CN59" s="369"/>
      <c r="CO59" s="369"/>
      <c r="CP59" s="369"/>
      <c r="CQ59" s="369"/>
      <c r="CR59" s="369"/>
      <c r="CS59" s="369"/>
      <c r="CT59" s="369"/>
      <c r="CU59" s="369"/>
      <c r="CV59" s="369"/>
      <c r="CW59" s="369"/>
      <c r="CX59" s="369"/>
      <c r="CY59" s="369"/>
      <c r="CZ59" s="369"/>
      <c r="DA59" s="369"/>
      <c r="DB59" s="369"/>
      <c r="DC59" s="369"/>
      <c r="DD59" s="369"/>
      <c r="DE59" s="369"/>
      <c r="DF59" s="369"/>
      <c r="DG59" s="369"/>
      <c r="DH59" s="369"/>
      <c r="DI59" s="369"/>
      <c r="DJ59" s="369"/>
      <c r="DK59" s="369"/>
      <c r="DL59" s="369"/>
      <c r="DM59" s="369"/>
      <c r="DN59" s="369"/>
      <c r="DO59" s="369"/>
      <c r="DP59" s="369"/>
      <c r="DQ59" s="369"/>
      <c r="DR59" s="369"/>
      <c r="DS59" s="369"/>
      <c r="DT59" s="369"/>
      <c r="DU59" s="369"/>
      <c r="DV59" s="369"/>
    </row>
    <row r="60" spans="1:126" s="156" customFormat="1" ht="12.75">
      <c r="P60" s="283">
        <f>P28+P17+P6</f>
        <v>700455540</v>
      </c>
      <c r="Q60" s="283">
        <f t="shared" ref="Q60:R60" si="37">Q28+Q17+Q6</f>
        <v>113315534.28</v>
      </c>
      <c r="R60" s="283">
        <f t="shared" si="37"/>
        <v>813771074.27999997</v>
      </c>
      <c r="S60" s="369"/>
      <c r="T60" s="369"/>
      <c r="U60" s="369"/>
      <c r="V60" s="369"/>
      <c r="W60" s="369"/>
      <c r="X60" s="369"/>
      <c r="Y60" s="369"/>
      <c r="Z60" s="369"/>
      <c r="AA60" s="369"/>
      <c r="AB60" s="369"/>
      <c r="AC60" s="369"/>
      <c r="AD60" s="369"/>
      <c r="AE60" s="369"/>
      <c r="AF60" s="369"/>
      <c r="AG60" s="369"/>
      <c r="AH60" s="369"/>
      <c r="AI60" s="369"/>
      <c r="AJ60" s="369"/>
      <c r="AK60" s="369"/>
      <c r="AL60" s="369"/>
      <c r="AM60" s="369"/>
      <c r="AN60" s="369"/>
      <c r="AO60" s="369"/>
      <c r="AP60" s="369"/>
      <c r="AQ60" s="369"/>
      <c r="AR60" s="369"/>
      <c r="AS60" s="369"/>
      <c r="AT60" s="369"/>
      <c r="AU60" s="369"/>
      <c r="AV60" s="369"/>
      <c r="AW60" s="369"/>
      <c r="AX60" s="369"/>
      <c r="AY60" s="369"/>
      <c r="AZ60" s="369"/>
      <c r="BA60" s="369"/>
      <c r="BB60" s="369"/>
      <c r="BC60" s="369"/>
      <c r="BD60" s="369"/>
      <c r="BE60" s="369"/>
      <c r="BF60" s="369"/>
      <c r="BG60" s="369"/>
      <c r="BH60" s="369"/>
      <c r="BI60" s="369"/>
      <c r="BJ60" s="369"/>
      <c r="BK60" s="369"/>
      <c r="BL60" s="369"/>
      <c r="BM60" s="369"/>
      <c r="BN60" s="369"/>
      <c r="BO60" s="369"/>
      <c r="BP60" s="369"/>
      <c r="BQ60" s="369"/>
      <c r="BR60" s="369"/>
      <c r="BS60" s="369"/>
      <c r="BT60" s="369"/>
      <c r="BU60" s="369"/>
      <c r="BV60" s="369"/>
      <c r="BW60" s="369"/>
      <c r="BX60" s="369"/>
      <c r="BY60" s="369"/>
      <c r="BZ60" s="369"/>
      <c r="CA60" s="369"/>
      <c r="CB60" s="369"/>
      <c r="CC60" s="369"/>
      <c r="CD60" s="369"/>
      <c r="CE60" s="369"/>
      <c r="CF60" s="369"/>
      <c r="CG60" s="369"/>
      <c r="CH60" s="369"/>
      <c r="CI60" s="369"/>
      <c r="CJ60" s="369"/>
      <c r="CK60" s="369"/>
      <c r="CL60" s="369"/>
      <c r="CM60" s="369"/>
      <c r="CN60" s="369"/>
      <c r="CO60" s="369"/>
      <c r="CP60" s="369"/>
      <c r="CQ60" s="369"/>
      <c r="CR60" s="369"/>
      <c r="CS60" s="369"/>
      <c r="CT60" s="369"/>
      <c r="CU60" s="369"/>
      <c r="CV60" s="369"/>
      <c r="CW60" s="369"/>
      <c r="CX60" s="369"/>
      <c r="CY60" s="369"/>
      <c r="CZ60" s="369"/>
      <c r="DA60" s="369"/>
      <c r="DB60" s="369"/>
      <c r="DC60" s="369"/>
      <c r="DD60" s="369"/>
      <c r="DE60" s="369"/>
      <c r="DF60" s="369"/>
      <c r="DG60" s="369"/>
      <c r="DH60" s="369"/>
      <c r="DI60" s="369"/>
      <c r="DJ60" s="369"/>
      <c r="DK60" s="369"/>
      <c r="DL60" s="369"/>
      <c r="DM60" s="369"/>
      <c r="DN60" s="369"/>
      <c r="DO60" s="369"/>
      <c r="DP60" s="369"/>
      <c r="DQ60" s="369"/>
      <c r="DR60" s="369"/>
      <c r="DS60" s="369"/>
      <c r="DT60" s="369"/>
      <c r="DU60" s="369"/>
      <c r="DV60" s="369"/>
    </row>
    <row r="61" spans="1:126" s="156" customFormat="1" ht="12.75">
      <c r="P61" s="283">
        <f t="shared" ref="P61:Q61" si="38">SUM(P52)</f>
        <v>20350000</v>
      </c>
      <c r="Q61" s="283">
        <f t="shared" si="38"/>
        <v>5494500</v>
      </c>
      <c r="R61" s="283">
        <f>SUM(R52)</f>
        <v>25844500</v>
      </c>
      <c r="S61" s="369"/>
      <c r="T61" s="369"/>
      <c r="U61" s="369"/>
      <c r="V61" s="369"/>
      <c r="W61" s="369"/>
      <c r="X61" s="369"/>
      <c r="Y61" s="369"/>
      <c r="Z61" s="369"/>
      <c r="AA61" s="369"/>
      <c r="AB61" s="369"/>
      <c r="AC61" s="369"/>
      <c r="AD61" s="369"/>
      <c r="AE61" s="369"/>
      <c r="AF61" s="369"/>
      <c r="AG61" s="369"/>
      <c r="AH61" s="369"/>
      <c r="AI61" s="369"/>
      <c r="AJ61" s="369"/>
      <c r="AK61" s="369"/>
      <c r="AL61" s="369"/>
      <c r="AM61" s="369"/>
      <c r="AN61" s="369"/>
      <c r="AO61" s="369"/>
      <c r="AP61" s="369"/>
      <c r="AQ61" s="369"/>
      <c r="AR61" s="369"/>
      <c r="AS61" s="369"/>
      <c r="AT61" s="369"/>
      <c r="AU61" s="369"/>
      <c r="AV61" s="369"/>
      <c r="AW61" s="369"/>
      <c r="AX61" s="369"/>
      <c r="AY61" s="369"/>
      <c r="AZ61" s="369"/>
      <c r="BA61" s="369"/>
      <c r="BB61" s="369"/>
      <c r="BC61" s="369"/>
      <c r="BD61" s="369"/>
      <c r="BE61" s="369"/>
      <c r="BF61" s="369"/>
      <c r="BG61" s="369"/>
      <c r="BH61" s="369"/>
      <c r="BI61" s="369"/>
      <c r="BJ61" s="369"/>
      <c r="BK61" s="369"/>
      <c r="BL61" s="369"/>
      <c r="BM61" s="369"/>
      <c r="BN61" s="369"/>
      <c r="BO61" s="369"/>
      <c r="BP61" s="369"/>
      <c r="BQ61" s="369"/>
      <c r="BR61" s="369"/>
      <c r="BS61" s="369"/>
      <c r="BT61" s="369"/>
      <c r="BU61" s="369"/>
      <c r="BV61" s="369"/>
      <c r="BW61" s="369"/>
      <c r="BX61" s="369"/>
      <c r="BY61" s="369"/>
      <c r="BZ61" s="369"/>
      <c r="CA61" s="369"/>
      <c r="CB61" s="369"/>
      <c r="CC61" s="369"/>
      <c r="CD61" s="369"/>
      <c r="CE61" s="369"/>
      <c r="CF61" s="369"/>
      <c r="CG61" s="369"/>
      <c r="CH61" s="369"/>
      <c r="CI61" s="369"/>
      <c r="CJ61" s="369"/>
      <c r="CK61" s="369"/>
      <c r="CL61" s="369"/>
      <c r="CM61" s="369"/>
      <c r="CN61" s="369"/>
      <c r="CO61" s="369"/>
      <c r="CP61" s="369"/>
      <c r="CQ61" s="369"/>
      <c r="CR61" s="369"/>
      <c r="CS61" s="369"/>
      <c r="CT61" s="369"/>
      <c r="CU61" s="369"/>
      <c r="CV61" s="369"/>
      <c r="CW61" s="369"/>
      <c r="CX61" s="369"/>
      <c r="CY61" s="369"/>
      <c r="CZ61" s="369"/>
      <c r="DA61" s="369"/>
      <c r="DB61" s="369"/>
      <c r="DC61" s="369"/>
      <c r="DD61" s="369"/>
      <c r="DE61" s="369"/>
      <c r="DF61" s="369"/>
      <c r="DG61" s="369"/>
      <c r="DH61" s="369"/>
      <c r="DI61" s="369"/>
      <c r="DJ61" s="369"/>
      <c r="DK61" s="369"/>
      <c r="DL61" s="369"/>
      <c r="DM61" s="369"/>
      <c r="DN61" s="369"/>
      <c r="DO61" s="369"/>
      <c r="DP61" s="369"/>
      <c r="DQ61" s="369"/>
      <c r="DR61" s="369"/>
      <c r="DS61" s="369"/>
      <c r="DT61" s="369"/>
      <c r="DU61" s="369"/>
      <c r="DV61" s="369"/>
    </row>
    <row r="62" spans="1:126" s="156" customFormat="1" ht="12.75">
      <c r="P62" s="283">
        <f t="shared" ref="P62:Q62" si="39">SUM(P60:P61)</f>
        <v>720805540</v>
      </c>
      <c r="Q62" s="283">
        <f t="shared" si="39"/>
        <v>118810034.28</v>
      </c>
      <c r="R62" s="283">
        <f>SUM(R60:R61)</f>
        <v>839615574.27999997</v>
      </c>
      <c r="S62" s="369"/>
      <c r="T62" s="369"/>
      <c r="U62" s="369"/>
      <c r="V62" s="369"/>
      <c r="W62" s="369"/>
      <c r="X62" s="369"/>
      <c r="Y62" s="369"/>
      <c r="Z62" s="369"/>
      <c r="AA62" s="369"/>
      <c r="AB62" s="369"/>
      <c r="AC62" s="369"/>
      <c r="AD62" s="369"/>
      <c r="AE62" s="369"/>
      <c r="AF62" s="369"/>
      <c r="AG62" s="369"/>
      <c r="AH62" s="369"/>
      <c r="AI62" s="369"/>
      <c r="AJ62" s="369"/>
      <c r="AK62" s="369"/>
      <c r="AL62" s="369"/>
      <c r="AM62" s="369"/>
      <c r="AN62" s="369"/>
      <c r="AO62" s="369"/>
      <c r="AP62" s="369"/>
      <c r="AQ62" s="369"/>
      <c r="AR62" s="369"/>
      <c r="AS62" s="369"/>
      <c r="AT62" s="369"/>
      <c r="AU62" s="369"/>
      <c r="AV62" s="369"/>
      <c r="AW62" s="369"/>
      <c r="AX62" s="369"/>
      <c r="AY62" s="369"/>
      <c r="AZ62" s="369"/>
      <c r="BA62" s="369"/>
      <c r="BB62" s="369"/>
      <c r="BC62" s="369"/>
      <c r="BD62" s="369"/>
      <c r="BE62" s="369"/>
      <c r="BF62" s="369"/>
      <c r="BG62" s="369"/>
      <c r="BH62" s="369"/>
      <c r="BI62" s="369"/>
      <c r="BJ62" s="369"/>
      <c r="BK62" s="369"/>
      <c r="BL62" s="369"/>
      <c r="BM62" s="369"/>
      <c r="BN62" s="369"/>
      <c r="BO62" s="369"/>
      <c r="BP62" s="369"/>
      <c r="BQ62" s="369"/>
      <c r="BR62" s="369"/>
      <c r="BS62" s="369"/>
      <c r="BT62" s="369"/>
      <c r="BU62" s="369"/>
      <c r="BV62" s="369"/>
      <c r="BW62" s="369"/>
      <c r="BX62" s="369"/>
      <c r="BY62" s="369"/>
      <c r="BZ62" s="369"/>
      <c r="CA62" s="369"/>
      <c r="CB62" s="369"/>
      <c r="CC62" s="369"/>
      <c r="CD62" s="369"/>
      <c r="CE62" s="369"/>
      <c r="CF62" s="369"/>
      <c r="CG62" s="369"/>
      <c r="CH62" s="369"/>
      <c r="CI62" s="369"/>
      <c r="CJ62" s="369"/>
      <c r="CK62" s="369"/>
      <c r="CL62" s="369"/>
      <c r="CM62" s="369"/>
      <c r="CN62" s="369"/>
      <c r="CO62" s="369"/>
      <c r="CP62" s="369"/>
      <c r="CQ62" s="369"/>
      <c r="CR62" s="369"/>
      <c r="CS62" s="369"/>
      <c r="CT62" s="369"/>
      <c r="CU62" s="369"/>
      <c r="CV62" s="369"/>
      <c r="CW62" s="369"/>
      <c r="CX62" s="369"/>
      <c r="CY62" s="369"/>
      <c r="CZ62" s="369"/>
      <c r="DA62" s="369"/>
      <c r="DB62" s="369"/>
      <c r="DC62" s="369"/>
      <c r="DD62" s="369"/>
      <c r="DE62" s="369"/>
      <c r="DF62" s="369"/>
      <c r="DG62" s="369"/>
      <c r="DH62" s="369"/>
      <c r="DI62" s="369"/>
      <c r="DJ62" s="369"/>
      <c r="DK62" s="369"/>
      <c r="DL62" s="369"/>
      <c r="DM62" s="369"/>
      <c r="DN62" s="369"/>
      <c r="DO62" s="369"/>
      <c r="DP62" s="369"/>
      <c r="DQ62" s="369"/>
      <c r="DR62" s="369"/>
      <c r="DS62" s="369"/>
      <c r="DT62" s="369"/>
      <c r="DU62" s="369"/>
      <c r="DV62" s="369"/>
    </row>
    <row r="63" spans="1:126" s="156" customFormat="1" ht="12.75">
      <c r="P63" s="283"/>
      <c r="S63" s="369"/>
      <c r="T63" s="369"/>
      <c r="U63" s="369"/>
      <c r="V63" s="369"/>
      <c r="W63" s="369"/>
      <c r="X63" s="369"/>
      <c r="Y63" s="369"/>
      <c r="Z63" s="369"/>
      <c r="AA63" s="369"/>
      <c r="AB63" s="369"/>
      <c r="AC63" s="369"/>
      <c r="AD63" s="369"/>
      <c r="AE63" s="369"/>
      <c r="AF63" s="369"/>
      <c r="AG63" s="369"/>
      <c r="AH63" s="369"/>
      <c r="AI63" s="369"/>
      <c r="AJ63" s="369"/>
      <c r="AK63" s="369"/>
      <c r="AL63" s="369"/>
      <c r="AM63" s="369"/>
      <c r="AN63" s="369"/>
      <c r="AO63" s="369"/>
      <c r="AP63" s="369"/>
      <c r="AQ63" s="369"/>
      <c r="AR63" s="369"/>
      <c r="AS63" s="369"/>
      <c r="AT63" s="369"/>
      <c r="AU63" s="369"/>
      <c r="AV63" s="369"/>
      <c r="AW63" s="369"/>
      <c r="AX63" s="369"/>
      <c r="AY63" s="369"/>
      <c r="AZ63" s="369"/>
      <c r="BA63" s="369"/>
      <c r="BB63" s="369"/>
      <c r="BC63" s="369"/>
      <c r="BD63" s="369"/>
      <c r="BE63" s="369"/>
      <c r="BF63" s="369"/>
      <c r="BG63" s="369"/>
      <c r="BH63" s="369"/>
      <c r="BI63" s="369"/>
      <c r="BJ63" s="369"/>
      <c r="BK63" s="369"/>
      <c r="BL63" s="369"/>
      <c r="BM63" s="369"/>
      <c r="BN63" s="369"/>
      <c r="BO63" s="369"/>
      <c r="BP63" s="369"/>
      <c r="BQ63" s="369"/>
      <c r="BR63" s="369"/>
      <c r="BS63" s="369"/>
      <c r="BT63" s="369"/>
      <c r="BU63" s="369"/>
      <c r="BV63" s="369"/>
      <c r="BW63" s="369"/>
      <c r="BX63" s="369"/>
      <c r="BY63" s="369"/>
      <c r="BZ63" s="369"/>
      <c r="CA63" s="369"/>
      <c r="CB63" s="369"/>
      <c r="CC63" s="369"/>
      <c r="CD63" s="369"/>
      <c r="CE63" s="369"/>
      <c r="CF63" s="369"/>
      <c r="CG63" s="369"/>
      <c r="CH63" s="369"/>
      <c r="CI63" s="369"/>
      <c r="CJ63" s="369"/>
      <c r="CK63" s="369"/>
      <c r="CL63" s="369"/>
      <c r="CM63" s="369"/>
      <c r="CN63" s="369"/>
      <c r="CO63" s="369"/>
      <c r="CP63" s="369"/>
      <c r="CQ63" s="369"/>
      <c r="CR63" s="369"/>
      <c r="CS63" s="369"/>
      <c r="CT63" s="369"/>
      <c r="CU63" s="369"/>
      <c r="CV63" s="369"/>
      <c r="CW63" s="369"/>
      <c r="CX63" s="369"/>
      <c r="CY63" s="369"/>
      <c r="CZ63" s="369"/>
      <c r="DA63" s="369"/>
      <c r="DB63" s="369"/>
      <c r="DC63" s="369"/>
      <c r="DD63" s="369"/>
      <c r="DE63" s="369"/>
      <c r="DF63" s="369"/>
      <c r="DG63" s="369"/>
      <c r="DH63" s="369"/>
      <c r="DI63" s="369"/>
      <c r="DJ63" s="369"/>
      <c r="DK63" s="369"/>
      <c r="DL63" s="369"/>
      <c r="DM63" s="369"/>
      <c r="DN63" s="369"/>
      <c r="DO63" s="369"/>
      <c r="DP63" s="369"/>
      <c r="DQ63" s="369"/>
      <c r="DR63" s="369"/>
      <c r="DS63" s="369"/>
      <c r="DT63" s="369"/>
      <c r="DU63" s="369"/>
      <c r="DV63" s="369"/>
    </row>
    <row r="64" spans="1:126" s="156" customFormat="1" ht="12.75">
      <c r="P64" s="283"/>
      <c r="S64" s="369"/>
      <c r="T64" s="369"/>
      <c r="U64" s="369"/>
      <c r="V64" s="369"/>
      <c r="W64" s="369"/>
      <c r="X64" s="369"/>
      <c r="Y64" s="369"/>
      <c r="Z64" s="369"/>
      <c r="AA64" s="369"/>
      <c r="AB64" s="369"/>
      <c r="AC64" s="369"/>
      <c r="AD64" s="369"/>
      <c r="AE64" s="369"/>
      <c r="AF64" s="369"/>
      <c r="AG64" s="369"/>
      <c r="AH64" s="369"/>
      <c r="AI64" s="369"/>
      <c r="AJ64" s="369"/>
      <c r="AK64" s="369"/>
      <c r="AL64" s="369"/>
      <c r="AM64" s="369"/>
      <c r="AN64" s="369"/>
      <c r="AO64" s="369"/>
      <c r="AP64" s="369"/>
      <c r="AQ64" s="369"/>
      <c r="AR64" s="369"/>
      <c r="AS64" s="369"/>
      <c r="AT64" s="369"/>
      <c r="AU64" s="369"/>
      <c r="AV64" s="369"/>
      <c r="AW64" s="369"/>
      <c r="AX64" s="369"/>
      <c r="AY64" s="369"/>
      <c r="AZ64" s="369"/>
      <c r="BA64" s="369"/>
      <c r="BB64" s="369"/>
      <c r="BC64" s="369"/>
      <c r="BD64" s="369"/>
      <c r="BE64" s="369"/>
      <c r="BF64" s="369"/>
      <c r="BG64" s="369"/>
      <c r="BH64" s="369"/>
      <c r="BI64" s="369"/>
      <c r="BJ64" s="369"/>
      <c r="BK64" s="369"/>
      <c r="BL64" s="369"/>
      <c r="BM64" s="369"/>
      <c r="BN64" s="369"/>
      <c r="BO64" s="369"/>
      <c r="BP64" s="369"/>
      <c r="BQ64" s="369"/>
      <c r="BR64" s="369"/>
      <c r="BS64" s="369"/>
      <c r="BT64" s="369"/>
      <c r="BU64" s="369"/>
      <c r="BV64" s="369"/>
      <c r="BW64" s="369"/>
      <c r="BX64" s="369"/>
      <c r="BY64" s="369"/>
      <c r="BZ64" s="369"/>
      <c r="CA64" s="369"/>
      <c r="CB64" s="369"/>
      <c r="CC64" s="369"/>
      <c r="CD64" s="369"/>
      <c r="CE64" s="369"/>
      <c r="CF64" s="369"/>
      <c r="CG64" s="369"/>
      <c r="CH64" s="369"/>
      <c r="CI64" s="369"/>
      <c r="CJ64" s="369"/>
      <c r="CK64" s="369"/>
      <c r="CL64" s="369"/>
      <c r="CM64" s="369"/>
      <c r="CN64" s="369"/>
      <c r="CO64" s="369"/>
      <c r="CP64" s="369"/>
      <c r="CQ64" s="369"/>
      <c r="CR64" s="369"/>
      <c r="CS64" s="369"/>
      <c r="CT64" s="369"/>
      <c r="CU64" s="369"/>
      <c r="CV64" s="369"/>
      <c r="CW64" s="369"/>
      <c r="CX64" s="369"/>
      <c r="CY64" s="369"/>
      <c r="CZ64" s="369"/>
      <c r="DA64" s="369"/>
      <c r="DB64" s="369"/>
      <c r="DC64" s="369"/>
      <c r="DD64" s="369"/>
      <c r="DE64" s="369"/>
      <c r="DF64" s="369"/>
      <c r="DG64" s="369"/>
      <c r="DH64" s="369"/>
      <c r="DI64" s="369"/>
      <c r="DJ64" s="369"/>
      <c r="DK64" s="369"/>
      <c r="DL64" s="369"/>
      <c r="DM64" s="369"/>
      <c r="DN64" s="369"/>
      <c r="DO64" s="369"/>
      <c r="DP64" s="369"/>
      <c r="DQ64" s="369"/>
      <c r="DR64" s="369"/>
      <c r="DS64" s="369"/>
      <c r="DT64" s="369"/>
      <c r="DU64" s="369"/>
      <c r="DV64" s="369"/>
    </row>
    <row r="65" spans="16:126" s="156" customFormat="1" ht="12.75">
      <c r="P65" s="283"/>
      <c r="S65" s="369"/>
      <c r="T65" s="369"/>
      <c r="U65" s="369"/>
      <c r="V65" s="369"/>
      <c r="W65" s="369"/>
      <c r="X65" s="369"/>
      <c r="Y65" s="369"/>
      <c r="Z65" s="369"/>
      <c r="AA65" s="369"/>
      <c r="AB65" s="369"/>
      <c r="AC65" s="369"/>
      <c r="AD65" s="369"/>
      <c r="AE65" s="369"/>
      <c r="AF65" s="369"/>
      <c r="AG65" s="369"/>
      <c r="AH65" s="369"/>
      <c r="AI65" s="369"/>
      <c r="AJ65" s="369"/>
      <c r="AK65" s="369"/>
      <c r="AL65" s="369"/>
      <c r="AM65" s="369"/>
      <c r="AN65" s="369"/>
      <c r="AO65" s="369"/>
      <c r="AP65" s="369"/>
      <c r="AQ65" s="369"/>
      <c r="AR65" s="369"/>
      <c r="AS65" s="369"/>
      <c r="AT65" s="369"/>
      <c r="AU65" s="369"/>
      <c r="AV65" s="369"/>
      <c r="AW65" s="369"/>
      <c r="AX65" s="369"/>
      <c r="AY65" s="369"/>
      <c r="AZ65" s="369"/>
      <c r="BA65" s="369"/>
      <c r="BB65" s="369"/>
      <c r="BC65" s="369"/>
      <c r="BD65" s="369"/>
      <c r="BE65" s="369"/>
      <c r="BF65" s="369"/>
      <c r="BG65" s="369"/>
      <c r="BH65" s="369"/>
      <c r="BI65" s="369"/>
      <c r="BJ65" s="369"/>
      <c r="BK65" s="369"/>
      <c r="BL65" s="369"/>
      <c r="BM65" s="369"/>
      <c r="BN65" s="369"/>
      <c r="BO65" s="369"/>
      <c r="BP65" s="369"/>
      <c r="BQ65" s="369"/>
      <c r="BR65" s="369"/>
      <c r="BS65" s="369"/>
      <c r="BT65" s="369"/>
      <c r="BU65" s="369"/>
      <c r="BV65" s="369"/>
      <c r="BW65" s="369"/>
      <c r="BX65" s="369"/>
      <c r="BY65" s="369"/>
      <c r="BZ65" s="369"/>
      <c r="CA65" s="369"/>
      <c r="CB65" s="369"/>
      <c r="CC65" s="369"/>
      <c r="CD65" s="369"/>
      <c r="CE65" s="369"/>
      <c r="CF65" s="369"/>
      <c r="CG65" s="369"/>
      <c r="CH65" s="369"/>
      <c r="CI65" s="369"/>
      <c r="CJ65" s="369"/>
      <c r="CK65" s="369"/>
      <c r="CL65" s="369"/>
      <c r="CM65" s="369"/>
      <c r="CN65" s="369"/>
      <c r="CO65" s="369"/>
      <c r="CP65" s="369"/>
      <c r="CQ65" s="369"/>
      <c r="CR65" s="369"/>
      <c r="CS65" s="369"/>
      <c r="CT65" s="369"/>
      <c r="CU65" s="369"/>
      <c r="CV65" s="369"/>
      <c r="CW65" s="369"/>
      <c r="CX65" s="369"/>
      <c r="CY65" s="369"/>
      <c r="CZ65" s="369"/>
      <c r="DA65" s="369"/>
      <c r="DB65" s="369"/>
      <c r="DC65" s="369"/>
      <c r="DD65" s="369"/>
      <c r="DE65" s="369"/>
      <c r="DF65" s="369"/>
      <c r="DG65" s="369"/>
      <c r="DH65" s="369"/>
      <c r="DI65" s="369"/>
      <c r="DJ65" s="369"/>
      <c r="DK65" s="369"/>
      <c r="DL65" s="369"/>
      <c r="DM65" s="369"/>
      <c r="DN65" s="369"/>
      <c r="DO65" s="369"/>
      <c r="DP65" s="369"/>
      <c r="DQ65" s="369"/>
      <c r="DR65" s="369"/>
      <c r="DS65" s="369"/>
      <c r="DT65" s="369"/>
      <c r="DU65" s="369"/>
      <c r="DV65" s="369"/>
    </row>
    <row r="66" spans="16:126" s="156" customFormat="1" ht="12.75">
      <c r="P66" s="283"/>
      <c r="S66" s="369"/>
      <c r="T66" s="369"/>
      <c r="U66" s="369"/>
      <c r="V66" s="369"/>
      <c r="W66" s="369"/>
      <c r="X66" s="369"/>
      <c r="Y66" s="369"/>
      <c r="Z66" s="369"/>
      <c r="AA66" s="369"/>
      <c r="AB66" s="369"/>
      <c r="AC66" s="369"/>
      <c r="AD66" s="369"/>
      <c r="AE66" s="369"/>
      <c r="AF66" s="369"/>
      <c r="AG66" s="369"/>
      <c r="AH66" s="369"/>
      <c r="AI66" s="369"/>
      <c r="AJ66" s="369"/>
      <c r="AK66" s="369"/>
      <c r="AL66" s="369"/>
      <c r="AM66" s="369"/>
      <c r="AN66" s="369"/>
      <c r="AO66" s="369"/>
      <c r="AP66" s="369"/>
      <c r="AQ66" s="369"/>
      <c r="AR66" s="369"/>
      <c r="AS66" s="369"/>
      <c r="AT66" s="369"/>
      <c r="AU66" s="369"/>
      <c r="AV66" s="369"/>
      <c r="AW66" s="369"/>
      <c r="AX66" s="369"/>
      <c r="AY66" s="369"/>
      <c r="AZ66" s="369"/>
      <c r="BA66" s="369"/>
      <c r="BB66" s="369"/>
      <c r="BC66" s="369"/>
      <c r="BD66" s="369"/>
      <c r="BE66" s="369"/>
      <c r="BF66" s="369"/>
      <c r="BG66" s="369"/>
      <c r="BH66" s="369"/>
      <c r="BI66" s="369"/>
      <c r="BJ66" s="369"/>
      <c r="BK66" s="369"/>
      <c r="BL66" s="369"/>
      <c r="BM66" s="369"/>
      <c r="BN66" s="369"/>
      <c r="BO66" s="369"/>
      <c r="BP66" s="369"/>
      <c r="BQ66" s="369"/>
      <c r="BR66" s="369"/>
      <c r="BS66" s="369"/>
      <c r="BT66" s="369"/>
      <c r="BU66" s="369"/>
      <c r="BV66" s="369"/>
      <c r="BW66" s="369"/>
      <c r="BX66" s="369"/>
      <c r="BY66" s="369"/>
      <c r="BZ66" s="369"/>
      <c r="CA66" s="369"/>
      <c r="CB66" s="369"/>
      <c r="CC66" s="369"/>
      <c r="CD66" s="369"/>
      <c r="CE66" s="369"/>
      <c r="CF66" s="369"/>
      <c r="CG66" s="369"/>
      <c r="CH66" s="369"/>
      <c r="CI66" s="369"/>
      <c r="CJ66" s="369"/>
      <c r="CK66" s="369"/>
      <c r="CL66" s="369"/>
      <c r="CM66" s="369"/>
      <c r="CN66" s="369"/>
      <c r="CO66" s="369"/>
      <c r="CP66" s="369"/>
      <c r="CQ66" s="369"/>
      <c r="CR66" s="369"/>
      <c r="CS66" s="369"/>
      <c r="CT66" s="369"/>
      <c r="CU66" s="369"/>
      <c r="CV66" s="369"/>
      <c r="CW66" s="369"/>
      <c r="CX66" s="369"/>
      <c r="CY66" s="369"/>
      <c r="CZ66" s="369"/>
      <c r="DA66" s="369"/>
      <c r="DB66" s="369"/>
      <c r="DC66" s="369"/>
      <c r="DD66" s="369"/>
      <c r="DE66" s="369"/>
      <c r="DF66" s="369"/>
      <c r="DG66" s="369"/>
      <c r="DH66" s="369"/>
      <c r="DI66" s="369"/>
      <c r="DJ66" s="369"/>
      <c r="DK66" s="369"/>
      <c r="DL66" s="369"/>
      <c r="DM66" s="369"/>
      <c r="DN66" s="369"/>
      <c r="DO66" s="369"/>
      <c r="DP66" s="369"/>
      <c r="DQ66" s="369"/>
      <c r="DR66" s="369"/>
      <c r="DS66" s="369"/>
      <c r="DT66" s="369"/>
      <c r="DU66" s="369"/>
      <c r="DV66" s="369"/>
    </row>
    <row r="67" spans="16:126" s="156" customFormat="1" ht="12.75">
      <c r="P67" s="283"/>
      <c r="S67" s="369"/>
      <c r="T67" s="369"/>
      <c r="U67" s="369"/>
      <c r="V67" s="369"/>
      <c r="W67" s="369"/>
      <c r="X67" s="369"/>
      <c r="Y67" s="369"/>
      <c r="Z67" s="369"/>
      <c r="AA67" s="369"/>
      <c r="AB67" s="369"/>
      <c r="AC67" s="369"/>
      <c r="AD67" s="369"/>
      <c r="AE67" s="369"/>
      <c r="AF67" s="369"/>
      <c r="AG67" s="369"/>
      <c r="AH67" s="369"/>
      <c r="AI67" s="369"/>
      <c r="AJ67" s="369"/>
      <c r="AK67" s="369"/>
      <c r="AL67" s="369"/>
      <c r="AM67" s="369"/>
      <c r="AN67" s="369"/>
      <c r="AO67" s="369"/>
      <c r="AP67" s="369"/>
      <c r="AQ67" s="369"/>
      <c r="AR67" s="369"/>
      <c r="AS67" s="369"/>
      <c r="AT67" s="369"/>
      <c r="AU67" s="369"/>
      <c r="AV67" s="369"/>
      <c r="AW67" s="369"/>
      <c r="AX67" s="369"/>
      <c r="AY67" s="369"/>
      <c r="AZ67" s="369"/>
      <c r="BA67" s="369"/>
      <c r="BB67" s="369"/>
      <c r="BC67" s="369"/>
      <c r="BD67" s="369"/>
      <c r="BE67" s="369"/>
      <c r="BF67" s="369"/>
      <c r="BG67" s="369"/>
      <c r="BH67" s="369"/>
      <c r="BI67" s="369"/>
      <c r="BJ67" s="369"/>
      <c r="BK67" s="369"/>
      <c r="BL67" s="369"/>
      <c r="BM67" s="369"/>
      <c r="BN67" s="369"/>
      <c r="BO67" s="369"/>
      <c r="BP67" s="369"/>
      <c r="BQ67" s="369"/>
      <c r="BR67" s="369"/>
      <c r="BS67" s="369"/>
      <c r="BT67" s="369"/>
      <c r="BU67" s="369"/>
      <c r="BV67" s="369"/>
      <c r="BW67" s="369"/>
      <c r="BX67" s="369"/>
      <c r="BY67" s="369"/>
      <c r="BZ67" s="369"/>
      <c r="CA67" s="369"/>
      <c r="CB67" s="369"/>
      <c r="CC67" s="369"/>
      <c r="CD67" s="369"/>
      <c r="CE67" s="369"/>
      <c r="CF67" s="369"/>
      <c r="CG67" s="369"/>
      <c r="CH67" s="369"/>
      <c r="CI67" s="369"/>
      <c r="CJ67" s="369"/>
      <c r="CK67" s="369"/>
      <c r="CL67" s="369"/>
      <c r="CM67" s="369"/>
      <c r="CN67" s="369"/>
      <c r="CO67" s="369"/>
      <c r="CP67" s="369"/>
      <c r="CQ67" s="369"/>
      <c r="CR67" s="369"/>
      <c r="CS67" s="369"/>
      <c r="CT67" s="369"/>
      <c r="CU67" s="369"/>
      <c r="CV67" s="369"/>
      <c r="CW67" s="369"/>
      <c r="CX67" s="369"/>
      <c r="CY67" s="369"/>
      <c r="CZ67" s="369"/>
      <c r="DA67" s="369"/>
      <c r="DB67" s="369"/>
      <c r="DC67" s="369"/>
      <c r="DD67" s="369"/>
      <c r="DE67" s="369"/>
      <c r="DF67" s="369"/>
      <c r="DG67" s="369"/>
      <c r="DH67" s="369"/>
      <c r="DI67" s="369"/>
      <c r="DJ67" s="369"/>
      <c r="DK67" s="369"/>
      <c r="DL67" s="369"/>
      <c r="DM67" s="369"/>
      <c r="DN67" s="369"/>
      <c r="DO67" s="369"/>
      <c r="DP67" s="369"/>
      <c r="DQ67" s="369"/>
      <c r="DR67" s="369"/>
      <c r="DS67" s="369"/>
      <c r="DT67" s="369"/>
      <c r="DU67" s="369"/>
      <c r="DV67" s="369"/>
    </row>
    <row r="68" spans="16:126" s="156" customFormat="1" ht="12.75">
      <c r="P68" s="283"/>
      <c r="S68" s="369"/>
      <c r="T68" s="369"/>
      <c r="U68" s="369"/>
      <c r="V68" s="369"/>
      <c r="W68" s="369"/>
      <c r="X68" s="369"/>
      <c r="Y68" s="369"/>
      <c r="Z68" s="369"/>
      <c r="AA68" s="369"/>
      <c r="AB68" s="369"/>
      <c r="AC68" s="369"/>
      <c r="AD68" s="369"/>
      <c r="AE68" s="369"/>
      <c r="AF68" s="369"/>
      <c r="AG68" s="369"/>
      <c r="AH68" s="369"/>
      <c r="AI68" s="369"/>
      <c r="AJ68" s="369"/>
      <c r="AK68" s="369"/>
      <c r="AL68" s="369"/>
      <c r="AM68" s="369"/>
      <c r="AN68" s="369"/>
      <c r="AO68" s="369"/>
      <c r="AP68" s="369"/>
      <c r="AQ68" s="369"/>
      <c r="AR68" s="369"/>
      <c r="AS68" s="369"/>
      <c r="AT68" s="369"/>
      <c r="AU68" s="369"/>
      <c r="AV68" s="369"/>
      <c r="AW68" s="369"/>
      <c r="AX68" s="369"/>
      <c r="AY68" s="369"/>
      <c r="AZ68" s="369"/>
      <c r="BA68" s="369"/>
      <c r="BB68" s="369"/>
      <c r="BC68" s="369"/>
      <c r="BD68" s="369"/>
      <c r="BE68" s="369"/>
      <c r="BF68" s="369"/>
      <c r="BG68" s="369"/>
      <c r="BH68" s="369"/>
      <c r="BI68" s="369"/>
      <c r="BJ68" s="369"/>
      <c r="BK68" s="369"/>
      <c r="BL68" s="369"/>
      <c r="BM68" s="369"/>
      <c r="BN68" s="369"/>
      <c r="BO68" s="369"/>
      <c r="BP68" s="369"/>
      <c r="BQ68" s="369"/>
      <c r="BR68" s="369"/>
      <c r="BS68" s="369"/>
      <c r="BT68" s="369"/>
      <c r="BU68" s="369"/>
      <c r="BV68" s="369"/>
      <c r="BW68" s="369"/>
      <c r="BX68" s="369"/>
      <c r="BY68" s="369"/>
      <c r="BZ68" s="369"/>
      <c r="CA68" s="369"/>
      <c r="CB68" s="369"/>
      <c r="CC68" s="369"/>
      <c r="CD68" s="369"/>
      <c r="CE68" s="369"/>
      <c r="CF68" s="369"/>
      <c r="CG68" s="369"/>
      <c r="CH68" s="369"/>
      <c r="CI68" s="369"/>
      <c r="CJ68" s="369"/>
      <c r="CK68" s="369"/>
      <c r="CL68" s="369"/>
      <c r="CM68" s="369"/>
      <c r="CN68" s="369"/>
      <c r="CO68" s="369"/>
      <c r="CP68" s="369"/>
      <c r="CQ68" s="369"/>
      <c r="CR68" s="369"/>
      <c r="CS68" s="369"/>
      <c r="CT68" s="369"/>
      <c r="CU68" s="369"/>
      <c r="CV68" s="369"/>
      <c r="CW68" s="369"/>
      <c r="CX68" s="369"/>
      <c r="CY68" s="369"/>
      <c r="CZ68" s="369"/>
      <c r="DA68" s="369"/>
      <c r="DB68" s="369"/>
      <c r="DC68" s="369"/>
      <c r="DD68" s="369"/>
      <c r="DE68" s="369"/>
      <c r="DF68" s="369"/>
      <c r="DG68" s="369"/>
      <c r="DH68" s="369"/>
      <c r="DI68" s="369"/>
      <c r="DJ68" s="369"/>
      <c r="DK68" s="369"/>
      <c r="DL68" s="369"/>
      <c r="DM68" s="369"/>
      <c r="DN68" s="369"/>
      <c r="DO68" s="369"/>
      <c r="DP68" s="369"/>
      <c r="DQ68" s="369"/>
      <c r="DR68" s="369"/>
      <c r="DS68" s="369"/>
      <c r="DT68" s="369"/>
      <c r="DU68" s="369"/>
      <c r="DV68" s="369"/>
    </row>
    <row r="69" spans="16:126" s="156" customFormat="1" ht="12.75">
      <c r="P69" s="283"/>
      <c r="S69" s="369"/>
      <c r="T69" s="369"/>
      <c r="U69" s="369"/>
      <c r="V69" s="369"/>
      <c r="W69" s="369"/>
      <c r="X69" s="369"/>
      <c r="Y69" s="369"/>
      <c r="Z69" s="369"/>
      <c r="AA69" s="369"/>
      <c r="AB69" s="369"/>
      <c r="AC69" s="369"/>
      <c r="AD69" s="369"/>
      <c r="AE69" s="369"/>
      <c r="AF69" s="369"/>
      <c r="AG69" s="369"/>
      <c r="AH69" s="369"/>
      <c r="AI69" s="369"/>
      <c r="AJ69" s="369"/>
      <c r="AK69" s="369"/>
      <c r="AL69" s="369"/>
      <c r="AM69" s="369"/>
      <c r="AN69" s="369"/>
      <c r="AO69" s="369"/>
      <c r="AP69" s="369"/>
      <c r="AQ69" s="369"/>
      <c r="AR69" s="369"/>
      <c r="AS69" s="369"/>
      <c r="AT69" s="369"/>
      <c r="AU69" s="369"/>
      <c r="AV69" s="369"/>
      <c r="AW69" s="369"/>
      <c r="AX69" s="369"/>
      <c r="AY69" s="369"/>
      <c r="AZ69" s="369"/>
      <c r="BA69" s="369"/>
      <c r="BB69" s="369"/>
      <c r="BC69" s="369"/>
      <c r="BD69" s="369"/>
      <c r="BE69" s="369"/>
      <c r="BF69" s="369"/>
      <c r="BG69" s="369"/>
      <c r="BH69" s="369"/>
      <c r="BI69" s="369"/>
      <c r="BJ69" s="369"/>
      <c r="BK69" s="369"/>
      <c r="BL69" s="369"/>
      <c r="BM69" s="369"/>
      <c r="BN69" s="369"/>
      <c r="BO69" s="369"/>
      <c r="BP69" s="369"/>
      <c r="BQ69" s="369"/>
      <c r="BR69" s="369"/>
      <c r="BS69" s="369"/>
      <c r="BT69" s="369"/>
      <c r="BU69" s="369"/>
      <c r="BV69" s="369"/>
      <c r="BW69" s="369"/>
      <c r="BX69" s="369"/>
      <c r="BY69" s="369"/>
      <c r="BZ69" s="369"/>
      <c r="CA69" s="369"/>
      <c r="CB69" s="369"/>
      <c r="CC69" s="369"/>
      <c r="CD69" s="369"/>
      <c r="CE69" s="369"/>
      <c r="CF69" s="369"/>
      <c r="CG69" s="369"/>
      <c r="CH69" s="369"/>
      <c r="CI69" s="369"/>
      <c r="CJ69" s="369"/>
      <c r="CK69" s="369"/>
      <c r="CL69" s="369"/>
      <c r="CM69" s="369"/>
      <c r="CN69" s="369"/>
      <c r="CO69" s="369"/>
      <c r="CP69" s="369"/>
      <c r="CQ69" s="369"/>
      <c r="CR69" s="369"/>
      <c r="CS69" s="369"/>
      <c r="CT69" s="369"/>
      <c r="CU69" s="369"/>
      <c r="CV69" s="369"/>
      <c r="CW69" s="369"/>
      <c r="CX69" s="369"/>
      <c r="CY69" s="369"/>
      <c r="CZ69" s="369"/>
      <c r="DA69" s="369"/>
      <c r="DB69" s="369"/>
      <c r="DC69" s="369"/>
      <c r="DD69" s="369"/>
      <c r="DE69" s="369"/>
      <c r="DF69" s="369"/>
      <c r="DG69" s="369"/>
      <c r="DH69" s="369"/>
      <c r="DI69" s="369"/>
      <c r="DJ69" s="369"/>
      <c r="DK69" s="369"/>
      <c r="DL69" s="369"/>
      <c r="DM69" s="369"/>
      <c r="DN69" s="369"/>
      <c r="DO69" s="369"/>
      <c r="DP69" s="369"/>
      <c r="DQ69" s="369"/>
      <c r="DR69" s="369"/>
      <c r="DS69" s="369"/>
      <c r="DT69" s="369"/>
      <c r="DU69" s="369"/>
      <c r="DV69" s="369"/>
    </row>
    <row r="70" spans="16:126" s="156" customFormat="1" ht="12.75">
      <c r="P70" s="283"/>
    </row>
    <row r="71" spans="16:126" s="156" customFormat="1" ht="12.75">
      <c r="P71" s="283"/>
    </row>
    <row r="72" spans="16:126" s="156" customFormat="1" ht="12.75">
      <c r="P72" s="283"/>
    </row>
    <row r="73" spans="16:126" s="156" customFormat="1" ht="12.75">
      <c r="P73" s="283"/>
    </row>
    <row r="74" spans="16:126" s="156" customFormat="1" ht="12.75">
      <c r="P74" s="283"/>
    </row>
    <row r="75" spans="16:126" s="156" customFormat="1" ht="12.75">
      <c r="P75" s="283"/>
    </row>
    <row r="76" spans="16:126" s="156" customFormat="1" ht="12.75">
      <c r="P76" s="283"/>
    </row>
    <row r="77" spans="16:126" s="156" customFormat="1" ht="12.75">
      <c r="P77" s="283"/>
    </row>
    <row r="78" spans="16:126" s="156" customFormat="1" ht="12.75">
      <c r="P78" s="283"/>
    </row>
    <row r="79" spans="16:126" s="156" customFormat="1" ht="12.75">
      <c r="P79" s="283"/>
    </row>
    <row r="80" spans="16:126" s="156" customFormat="1" ht="12.75">
      <c r="P80" s="283"/>
    </row>
    <row r="81" spans="16:16" s="156" customFormat="1" ht="12.75">
      <c r="P81" s="283"/>
    </row>
    <row r="82" spans="16:16" s="156" customFormat="1" ht="12.75">
      <c r="P82" s="283"/>
    </row>
    <row r="83" spans="16:16" s="156" customFormat="1" ht="12.75">
      <c r="P83" s="283"/>
    </row>
    <row r="84" spans="16:16" s="156" customFormat="1" ht="12.75">
      <c r="P84" s="283"/>
    </row>
    <row r="85" spans="16:16" s="156" customFormat="1" ht="12.75">
      <c r="P85" s="283"/>
    </row>
    <row r="86" spans="16:16" s="156" customFormat="1" ht="12.75">
      <c r="P86" s="283"/>
    </row>
    <row r="87" spans="16:16" s="156" customFormat="1" ht="12.75">
      <c r="P87" s="283"/>
    </row>
    <row r="88" spans="16:16" s="156" customFormat="1" ht="12.75">
      <c r="P88" s="283"/>
    </row>
    <row r="89" spans="16:16" s="156" customFormat="1" ht="12.75">
      <c r="P89" s="283"/>
    </row>
    <row r="90" spans="16:16" s="156" customFormat="1" ht="12.75">
      <c r="P90" s="283"/>
    </row>
    <row r="91" spans="16:16" s="156" customFormat="1" ht="12.75">
      <c r="P91" s="283"/>
    </row>
    <row r="92" spans="16:16" s="156" customFormat="1" ht="12.75">
      <c r="P92" s="283"/>
    </row>
    <row r="93" spans="16:16" s="156" customFormat="1" ht="12.75">
      <c r="P93" s="283"/>
    </row>
    <row r="94" spans="16:16" s="156" customFormat="1" ht="12.75">
      <c r="P94" s="283"/>
    </row>
    <row r="95" spans="16:16" s="156" customFormat="1" ht="12.75">
      <c r="P95" s="283"/>
    </row>
    <row r="96" spans="16:16" s="156" customFormat="1" ht="12.75">
      <c r="P96" s="283"/>
    </row>
    <row r="97" spans="16:16" s="156" customFormat="1" ht="12.75">
      <c r="P97" s="283"/>
    </row>
    <row r="98" spans="16:16" s="156" customFormat="1" ht="12.75">
      <c r="P98" s="283"/>
    </row>
    <row r="99" spans="16:16" s="156" customFormat="1" ht="12.75">
      <c r="P99" s="283"/>
    </row>
    <row r="100" spans="16:16" s="156" customFormat="1" ht="12.75">
      <c r="P100" s="283"/>
    </row>
    <row r="101" spans="16:16" s="156" customFormat="1" ht="12.75">
      <c r="P101" s="283"/>
    </row>
    <row r="102" spans="16:16" s="156" customFormat="1" ht="12.75">
      <c r="P102" s="283"/>
    </row>
    <row r="103" spans="16:16" s="156" customFormat="1" ht="12.75">
      <c r="P103" s="283"/>
    </row>
    <row r="104" spans="16:16" s="156" customFormat="1" ht="12.75">
      <c r="P104" s="283"/>
    </row>
    <row r="105" spans="16:16" s="156" customFormat="1" ht="12.75">
      <c r="P105" s="283"/>
    </row>
    <row r="106" spans="16:16" s="156" customFormat="1" ht="12.75">
      <c r="P106" s="283"/>
    </row>
    <row r="107" spans="16:16" s="156" customFormat="1" ht="12.75">
      <c r="P107" s="283"/>
    </row>
    <row r="108" spans="16:16" s="156" customFormat="1" ht="12.75">
      <c r="P108" s="283"/>
    </row>
    <row r="109" spans="16:16" s="156" customFormat="1" ht="12.75">
      <c r="P109" s="283"/>
    </row>
    <row r="110" spans="16:16" s="156" customFormat="1" ht="12.75">
      <c r="P110" s="283"/>
    </row>
    <row r="111" spans="16:16" s="156" customFormat="1" ht="12.75">
      <c r="P111" s="283"/>
    </row>
    <row r="112" spans="16:16" s="156" customFormat="1" ht="12.75">
      <c r="P112" s="283"/>
    </row>
    <row r="113" spans="16:16" s="156" customFormat="1" ht="12.75">
      <c r="P113" s="283"/>
    </row>
    <row r="114" spans="16:16" s="156" customFormat="1" ht="12.75">
      <c r="P114" s="283"/>
    </row>
    <row r="115" spans="16:16" s="156" customFormat="1" ht="12.75">
      <c r="P115" s="283"/>
    </row>
    <row r="116" spans="16:16" s="156" customFormat="1" ht="12.75">
      <c r="P116" s="283"/>
    </row>
    <row r="117" spans="16:16" s="156" customFormat="1" ht="12.75">
      <c r="P117" s="283"/>
    </row>
    <row r="118" spans="16:16" s="156" customFormat="1" ht="12.75">
      <c r="P118" s="283"/>
    </row>
    <row r="119" spans="16:16" s="156" customFormat="1" ht="12.75">
      <c r="P119" s="283"/>
    </row>
    <row r="120" spans="16:16" s="156" customFormat="1" ht="12.75">
      <c r="P120" s="283"/>
    </row>
    <row r="121" spans="16:16" s="156" customFormat="1" ht="12.75">
      <c r="P121" s="283"/>
    </row>
    <row r="122" spans="16:16" s="156" customFormat="1" ht="12.75">
      <c r="P122" s="283"/>
    </row>
    <row r="123" spans="16:16" s="156" customFormat="1" ht="12.75">
      <c r="P123" s="283"/>
    </row>
    <row r="124" spans="16:16" s="156" customFormat="1" ht="12.75">
      <c r="P124" s="283"/>
    </row>
    <row r="125" spans="16:16" s="156" customFormat="1" ht="12.75">
      <c r="P125" s="283"/>
    </row>
    <row r="126" spans="16:16" s="156" customFormat="1" ht="12.75">
      <c r="P126" s="283"/>
    </row>
    <row r="127" spans="16:16" s="156" customFormat="1" ht="12.75">
      <c r="P127" s="283"/>
    </row>
    <row r="128" spans="16:16" s="156" customFormat="1" ht="12.75">
      <c r="P128" s="283"/>
    </row>
    <row r="129" spans="16:16" s="156" customFormat="1" ht="12.75">
      <c r="P129" s="283"/>
    </row>
    <row r="130" spans="16:16" s="156" customFormat="1" ht="12.75">
      <c r="P130" s="283"/>
    </row>
    <row r="131" spans="16:16" s="156" customFormat="1" ht="12.75">
      <c r="P131" s="283"/>
    </row>
    <row r="132" spans="16:16" s="156" customFormat="1" ht="12.75">
      <c r="P132" s="283"/>
    </row>
    <row r="133" spans="16:16" s="156" customFormat="1" ht="12.75">
      <c r="P133" s="283"/>
    </row>
    <row r="134" spans="16:16" s="156" customFormat="1" ht="12.75">
      <c r="P134" s="283"/>
    </row>
    <row r="135" spans="16:16" s="156" customFormat="1" ht="12.75">
      <c r="P135" s="283"/>
    </row>
    <row r="136" spans="16:16" s="156" customFormat="1" ht="12.75">
      <c r="P136" s="283"/>
    </row>
    <row r="137" spans="16:16" s="156" customFormat="1" ht="12.75">
      <c r="P137" s="283"/>
    </row>
    <row r="138" spans="16:16" s="156" customFormat="1" ht="12.75">
      <c r="P138" s="283"/>
    </row>
    <row r="139" spans="16:16" s="156" customFormat="1" ht="12.75">
      <c r="P139" s="283"/>
    </row>
    <row r="140" spans="16:16" s="156" customFormat="1" ht="12.75">
      <c r="P140" s="283"/>
    </row>
    <row r="141" spans="16:16" s="156" customFormat="1" ht="12.75">
      <c r="P141" s="283"/>
    </row>
    <row r="142" spans="16:16" s="156" customFormat="1" ht="12.75">
      <c r="P142" s="283"/>
    </row>
    <row r="143" spans="16:16" s="156" customFormat="1" ht="12.75">
      <c r="P143" s="283"/>
    </row>
    <row r="144" spans="16:16" s="156" customFormat="1" ht="12.75">
      <c r="P144" s="283"/>
    </row>
    <row r="145" spans="16:16" s="156" customFormat="1" ht="12.75">
      <c r="P145" s="283"/>
    </row>
    <row r="146" spans="16:16" s="156" customFormat="1" ht="12.75">
      <c r="P146" s="283"/>
    </row>
  </sheetData>
  <mergeCells count="1">
    <mergeCell ref="C2:R3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15"/>
  <sheetViews>
    <sheetView zoomScaleNormal="100" workbookViewId="0">
      <selection activeCell="J17" sqref="J17"/>
    </sheetView>
  </sheetViews>
  <sheetFormatPr defaultRowHeight="15"/>
  <cols>
    <col min="2" max="2" width="9.140625" style="154" customWidth="1"/>
    <col min="3" max="3" width="14.28515625" style="154" customWidth="1"/>
    <col min="4" max="4" width="15.7109375" style="154" customWidth="1"/>
    <col min="5" max="5" width="13" style="154" customWidth="1"/>
    <col min="6" max="6" width="10.42578125" style="154" customWidth="1"/>
    <col min="7" max="7" width="12.28515625" style="154" customWidth="1"/>
    <col min="8" max="8" width="12.5703125" style="154" customWidth="1"/>
    <col min="9" max="9" width="11.5703125" customWidth="1"/>
    <col min="10" max="10" width="13.140625" customWidth="1"/>
    <col min="11" max="11" width="12.42578125" customWidth="1"/>
    <col min="258" max="258" width="9.140625" customWidth="1"/>
    <col min="259" max="259" width="14.28515625" customWidth="1"/>
    <col min="260" max="260" width="15.7109375" customWidth="1"/>
    <col min="261" max="261" width="13" customWidth="1"/>
    <col min="262" max="262" width="10.42578125" customWidth="1"/>
    <col min="263" max="263" width="12.28515625" customWidth="1"/>
    <col min="264" max="264" width="12.5703125" customWidth="1"/>
    <col min="265" max="265" width="11.5703125" customWidth="1"/>
    <col min="266" max="266" width="13.140625" customWidth="1"/>
    <col min="267" max="267" width="12.42578125" customWidth="1"/>
    <col min="514" max="514" width="9.140625" customWidth="1"/>
    <col min="515" max="515" width="14.28515625" customWidth="1"/>
    <col min="516" max="516" width="15.7109375" customWidth="1"/>
    <col min="517" max="517" width="13" customWidth="1"/>
    <col min="518" max="518" width="10.42578125" customWidth="1"/>
    <col min="519" max="519" width="12.28515625" customWidth="1"/>
    <col min="520" max="520" width="12.5703125" customWidth="1"/>
    <col min="521" max="521" width="11.5703125" customWidth="1"/>
    <col min="522" max="522" width="13.140625" customWidth="1"/>
    <col min="523" max="523" width="12.42578125" customWidth="1"/>
    <col min="770" max="770" width="9.140625" customWidth="1"/>
    <col min="771" max="771" width="14.28515625" customWidth="1"/>
    <col min="772" max="772" width="15.7109375" customWidth="1"/>
    <col min="773" max="773" width="13" customWidth="1"/>
    <col min="774" max="774" width="10.42578125" customWidth="1"/>
    <col min="775" max="775" width="12.28515625" customWidth="1"/>
    <col min="776" max="776" width="12.5703125" customWidth="1"/>
    <col min="777" max="777" width="11.5703125" customWidth="1"/>
    <col min="778" max="778" width="13.140625" customWidth="1"/>
    <col min="779" max="779" width="12.42578125" customWidth="1"/>
    <col min="1026" max="1026" width="9.140625" customWidth="1"/>
    <col min="1027" max="1027" width="14.28515625" customWidth="1"/>
    <col min="1028" max="1028" width="15.7109375" customWidth="1"/>
    <col min="1029" max="1029" width="13" customWidth="1"/>
    <col min="1030" max="1030" width="10.42578125" customWidth="1"/>
    <col min="1031" max="1031" width="12.28515625" customWidth="1"/>
    <col min="1032" max="1032" width="12.5703125" customWidth="1"/>
    <col min="1033" max="1033" width="11.5703125" customWidth="1"/>
    <col min="1034" max="1034" width="13.140625" customWidth="1"/>
    <col min="1035" max="1035" width="12.42578125" customWidth="1"/>
    <col min="1282" max="1282" width="9.140625" customWidth="1"/>
    <col min="1283" max="1283" width="14.28515625" customWidth="1"/>
    <col min="1284" max="1284" width="15.7109375" customWidth="1"/>
    <col min="1285" max="1285" width="13" customWidth="1"/>
    <col min="1286" max="1286" width="10.42578125" customWidth="1"/>
    <col min="1287" max="1287" width="12.28515625" customWidth="1"/>
    <col min="1288" max="1288" width="12.5703125" customWidth="1"/>
    <col min="1289" max="1289" width="11.5703125" customWidth="1"/>
    <col min="1290" max="1290" width="13.140625" customWidth="1"/>
    <col min="1291" max="1291" width="12.42578125" customWidth="1"/>
    <col min="1538" max="1538" width="9.140625" customWidth="1"/>
    <col min="1539" max="1539" width="14.28515625" customWidth="1"/>
    <col min="1540" max="1540" width="15.7109375" customWidth="1"/>
    <col min="1541" max="1541" width="13" customWidth="1"/>
    <col min="1542" max="1542" width="10.42578125" customWidth="1"/>
    <col min="1543" max="1543" width="12.28515625" customWidth="1"/>
    <col min="1544" max="1544" width="12.5703125" customWidth="1"/>
    <col min="1545" max="1545" width="11.5703125" customWidth="1"/>
    <col min="1546" max="1546" width="13.140625" customWidth="1"/>
    <col min="1547" max="1547" width="12.42578125" customWidth="1"/>
    <col min="1794" max="1794" width="9.140625" customWidth="1"/>
    <col min="1795" max="1795" width="14.28515625" customWidth="1"/>
    <col min="1796" max="1796" width="15.7109375" customWidth="1"/>
    <col min="1797" max="1797" width="13" customWidth="1"/>
    <col min="1798" max="1798" width="10.42578125" customWidth="1"/>
    <col min="1799" max="1799" width="12.28515625" customWidth="1"/>
    <col min="1800" max="1800" width="12.5703125" customWidth="1"/>
    <col min="1801" max="1801" width="11.5703125" customWidth="1"/>
    <col min="1802" max="1802" width="13.140625" customWidth="1"/>
    <col min="1803" max="1803" width="12.42578125" customWidth="1"/>
    <col min="2050" max="2050" width="9.140625" customWidth="1"/>
    <col min="2051" max="2051" width="14.28515625" customWidth="1"/>
    <col min="2052" max="2052" width="15.7109375" customWidth="1"/>
    <col min="2053" max="2053" width="13" customWidth="1"/>
    <col min="2054" max="2054" width="10.42578125" customWidth="1"/>
    <col min="2055" max="2055" width="12.28515625" customWidth="1"/>
    <col min="2056" max="2056" width="12.5703125" customWidth="1"/>
    <col min="2057" max="2057" width="11.5703125" customWidth="1"/>
    <col min="2058" max="2058" width="13.140625" customWidth="1"/>
    <col min="2059" max="2059" width="12.42578125" customWidth="1"/>
    <col min="2306" max="2306" width="9.140625" customWidth="1"/>
    <col min="2307" max="2307" width="14.28515625" customWidth="1"/>
    <col min="2308" max="2308" width="15.7109375" customWidth="1"/>
    <col min="2309" max="2309" width="13" customWidth="1"/>
    <col min="2310" max="2310" width="10.42578125" customWidth="1"/>
    <col min="2311" max="2311" width="12.28515625" customWidth="1"/>
    <col min="2312" max="2312" width="12.5703125" customWidth="1"/>
    <col min="2313" max="2313" width="11.5703125" customWidth="1"/>
    <col min="2314" max="2314" width="13.140625" customWidth="1"/>
    <col min="2315" max="2315" width="12.42578125" customWidth="1"/>
    <col min="2562" max="2562" width="9.140625" customWidth="1"/>
    <col min="2563" max="2563" width="14.28515625" customWidth="1"/>
    <col min="2564" max="2564" width="15.7109375" customWidth="1"/>
    <col min="2565" max="2565" width="13" customWidth="1"/>
    <col min="2566" max="2566" width="10.42578125" customWidth="1"/>
    <col min="2567" max="2567" width="12.28515625" customWidth="1"/>
    <col min="2568" max="2568" width="12.5703125" customWidth="1"/>
    <col min="2569" max="2569" width="11.5703125" customWidth="1"/>
    <col min="2570" max="2570" width="13.140625" customWidth="1"/>
    <col min="2571" max="2571" width="12.42578125" customWidth="1"/>
    <col min="2818" max="2818" width="9.140625" customWidth="1"/>
    <col min="2819" max="2819" width="14.28515625" customWidth="1"/>
    <col min="2820" max="2820" width="15.7109375" customWidth="1"/>
    <col min="2821" max="2821" width="13" customWidth="1"/>
    <col min="2822" max="2822" width="10.42578125" customWidth="1"/>
    <col min="2823" max="2823" width="12.28515625" customWidth="1"/>
    <col min="2824" max="2824" width="12.5703125" customWidth="1"/>
    <col min="2825" max="2825" width="11.5703125" customWidth="1"/>
    <col min="2826" max="2826" width="13.140625" customWidth="1"/>
    <col min="2827" max="2827" width="12.42578125" customWidth="1"/>
    <col min="3074" max="3074" width="9.140625" customWidth="1"/>
    <col min="3075" max="3075" width="14.28515625" customWidth="1"/>
    <col min="3076" max="3076" width="15.7109375" customWidth="1"/>
    <col min="3077" max="3077" width="13" customWidth="1"/>
    <col min="3078" max="3078" width="10.42578125" customWidth="1"/>
    <col min="3079" max="3079" width="12.28515625" customWidth="1"/>
    <col min="3080" max="3080" width="12.5703125" customWidth="1"/>
    <col min="3081" max="3081" width="11.5703125" customWidth="1"/>
    <col min="3082" max="3082" width="13.140625" customWidth="1"/>
    <col min="3083" max="3083" width="12.42578125" customWidth="1"/>
    <col min="3330" max="3330" width="9.140625" customWidth="1"/>
    <col min="3331" max="3331" width="14.28515625" customWidth="1"/>
    <col min="3332" max="3332" width="15.7109375" customWidth="1"/>
    <col min="3333" max="3333" width="13" customWidth="1"/>
    <col min="3334" max="3334" width="10.42578125" customWidth="1"/>
    <col min="3335" max="3335" width="12.28515625" customWidth="1"/>
    <col min="3336" max="3336" width="12.5703125" customWidth="1"/>
    <col min="3337" max="3337" width="11.5703125" customWidth="1"/>
    <col min="3338" max="3338" width="13.140625" customWidth="1"/>
    <col min="3339" max="3339" width="12.42578125" customWidth="1"/>
    <col min="3586" max="3586" width="9.140625" customWidth="1"/>
    <col min="3587" max="3587" width="14.28515625" customWidth="1"/>
    <col min="3588" max="3588" width="15.7109375" customWidth="1"/>
    <col min="3589" max="3589" width="13" customWidth="1"/>
    <col min="3590" max="3590" width="10.42578125" customWidth="1"/>
    <col min="3591" max="3591" width="12.28515625" customWidth="1"/>
    <col min="3592" max="3592" width="12.5703125" customWidth="1"/>
    <col min="3593" max="3593" width="11.5703125" customWidth="1"/>
    <col min="3594" max="3594" width="13.140625" customWidth="1"/>
    <col min="3595" max="3595" width="12.42578125" customWidth="1"/>
    <col min="3842" max="3842" width="9.140625" customWidth="1"/>
    <col min="3843" max="3843" width="14.28515625" customWidth="1"/>
    <col min="3844" max="3844" width="15.7109375" customWidth="1"/>
    <col min="3845" max="3845" width="13" customWidth="1"/>
    <col min="3846" max="3846" width="10.42578125" customWidth="1"/>
    <col min="3847" max="3847" width="12.28515625" customWidth="1"/>
    <col min="3848" max="3848" width="12.5703125" customWidth="1"/>
    <col min="3849" max="3849" width="11.5703125" customWidth="1"/>
    <col min="3850" max="3850" width="13.140625" customWidth="1"/>
    <col min="3851" max="3851" width="12.42578125" customWidth="1"/>
    <col min="4098" max="4098" width="9.140625" customWidth="1"/>
    <col min="4099" max="4099" width="14.28515625" customWidth="1"/>
    <col min="4100" max="4100" width="15.7109375" customWidth="1"/>
    <col min="4101" max="4101" width="13" customWidth="1"/>
    <col min="4102" max="4102" width="10.42578125" customWidth="1"/>
    <col min="4103" max="4103" width="12.28515625" customWidth="1"/>
    <col min="4104" max="4104" width="12.5703125" customWidth="1"/>
    <col min="4105" max="4105" width="11.5703125" customWidth="1"/>
    <col min="4106" max="4106" width="13.140625" customWidth="1"/>
    <col min="4107" max="4107" width="12.42578125" customWidth="1"/>
    <col min="4354" max="4354" width="9.140625" customWidth="1"/>
    <col min="4355" max="4355" width="14.28515625" customWidth="1"/>
    <col min="4356" max="4356" width="15.7109375" customWidth="1"/>
    <col min="4357" max="4357" width="13" customWidth="1"/>
    <col min="4358" max="4358" width="10.42578125" customWidth="1"/>
    <col min="4359" max="4359" width="12.28515625" customWidth="1"/>
    <col min="4360" max="4360" width="12.5703125" customWidth="1"/>
    <col min="4361" max="4361" width="11.5703125" customWidth="1"/>
    <col min="4362" max="4362" width="13.140625" customWidth="1"/>
    <col min="4363" max="4363" width="12.42578125" customWidth="1"/>
    <col min="4610" max="4610" width="9.140625" customWidth="1"/>
    <col min="4611" max="4611" width="14.28515625" customWidth="1"/>
    <col min="4612" max="4612" width="15.7109375" customWidth="1"/>
    <col min="4613" max="4613" width="13" customWidth="1"/>
    <col min="4614" max="4614" width="10.42578125" customWidth="1"/>
    <col min="4615" max="4615" width="12.28515625" customWidth="1"/>
    <col min="4616" max="4616" width="12.5703125" customWidth="1"/>
    <col min="4617" max="4617" width="11.5703125" customWidth="1"/>
    <col min="4618" max="4618" width="13.140625" customWidth="1"/>
    <col min="4619" max="4619" width="12.42578125" customWidth="1"/>
    <col min="4866" max="4866" width="9.140625" customWidth="1"/>
    <col min="4867" max="4867" width="14.28515625" customWidth="1"/>
    <col min="4868" max="4868" width="15.7109375" customWidth="1"/>
    <col min="4869" max="4869" width="13" customWidth="1"/>
    <col min="4870" max="4870" width="10.42578125" customWidth="1"/>
    <col min="4871" max="4871" width="12.28515625" customWidth="1"/>
    <col min="4872" max="4872" width="12.5703125" customWidth="1"/>
    <col min="4873" max="4873" width="11.5703125" customWidth="1"/>
    <col min="4874" max="4874" width="13.140625" customWidth="1"/>
    <col min="4875" max="4875" width="12.42578125" customWidth="1"/>
    <col min="5122" max="5122" width="9.140625" customWidth="1"/>
    <col min="5123" max="5123" width="14.28515625" customWidth="1"/>
    <col min="5124" max="5124" width="15.7109375" customWidth="1"/>
    <col min="5125" max="5125" width="13" customWidth="1"/>
    <col min="5126" max="5126" width="10.42578125" customWidth="1"/>
    <col min="5127" max="5127" width="12.28515625" customWidth="1"/>
    <col min="5128" max="5128" width="12.5703125" customWidth="1"/>
    <col min="5129" max="5129" width="11.5703125" customWidth="1"/>
    <col min="5130" max="5130" width="13.140625" customWidth="1"/>
    <col min="5131" max="5131" width="12.42578125" customWidth="1"/>
    <col min="5378" max="5378" width="9.140625" customWidth="1"/>
    <col min="5379" max="5379" width="14.28515625" customWidth="1"/>
    <col min="5380" max="5380" width="15.7109375" customWidth="1"/>
    <col min="5381" max="5381" width="13" customWidth="1"/>
    <col min="5382" max="5382" width="10.42578125" customWidth="1"/>
    <col min="5383" max="5383" width="12.28515625" customWidth="1"/>
    <col min="5384" max="5384" width="12.5703125" customWidth="1"/>
    <col min="5385" max="5385" width="11.5703125" customWidth="1"/>
    <col min="5386" max="5386" width="13.140625" customWidth="1"/>
    <col min="5387" max="5387" width="12.42578125" customWidth="1"/>
    <col min="5634" max="5634" width="9.140625" customWidth="1"/>
    <col min="5635" max="5635" width="14.28515625" customWidth="1"/>
    <col min="5636" max="5636" width="15.7109375" customWidth="1"/>
    <col min="5637" max="5637" width="13" customWidth="1"/>
    <col min="5638" max="5638" width="10.42578125" customWidth="1"/>
    <col min="5639" max="5639" width="12.28515625" customWidth="1"/>
    <col min="5640" max="5640" width="12.5703125" customWidth="1"/>
    <col min="5641" max="5641" width="11.5703125" customWidth="1"/>
    <col min="5642" max="5642" width="13.140625" customWidth="1"/>
    <col min="5643" max="5643" width="12.42578125" customWidth="1"/>
    <col min="5890" max="5890" width="9.140625" customWidth="1"/>
    <col min="5891" max="5891" width="14.28515625" customWidth="1"/>
    <col min="5892" max="5892" width="15.7109375" customWidth="1"/>
    <col min="5893" max="5893" width="13" customWidth="1"/>
    <col min="5894" max="5894" width="10.42578125" customWidth="1"/>
    <col min="5895" max="5895" width="12.28515625" customWidth="1"/>
    <col min="5896" max="5896" width="12.5703125" customWidth="1"/>
    <col min="5897" max="5897" width="11.5703125" customWidth="1"/>
    <col min="5898" max="5898" width="13.140625" customWidth="1"/>
    <col min="5899" max="5899" width="12.42578125" customWidth="1"/>
    <col min="6146" max="6146" width="9.140625" customWidth="1"/>
    <col min="6147" max="6147" width="14.28515625" customWidth="1"/>
    <col min="6148" max="6148" width="15.7109375" customWidth="1"/>
    <col min="6149" max="6149" width="13" customWidth="1"/>
    <col min="6150" max="6150" width="10.42578125" customWidth="1"/>
    <col min="6151" max="6151" width="12.28515625" customWidth="1"/>
    <col min="6152" max="6152" width="12.5703125" customWidth="1"/>
    <col min="6153" max="6153" width="11.5703125" customWidth="1"/>
    <col min="6154" max="6154" width="13.140625" customWidth="1"/>
    <col min="6155" max="6155" width="12.42578125" customWidth="1"/>
    <col min="6402" max="6402" width="9.140625" customWidth="1"/>
    <col min="6403" max="6403" width="14.28515625" customWidth="1"/>
    <col min="6404" max="6404" width="15.7109375" customWidth="1"/>
    <col min="6405" max="6405" width="13" customWidth="1"/>
    <col min="6406" max="6406" width="10.42578125" customWidth="1"/>
    <col min="6407" max="6407" width="12.28515625" customWidth="1"/>
    <col min="6408" max="6408" width="12.5703125" customWidth="1"/>
    <col min="6409" max="6409" width="11.5703125" customWidth="1"/>
    <col min="6410" max="6410" width="13.140625" customWidth="1"/>
    <col min="6411" max="6411" width="12.42578125" customWidth="1"/>
    <col min="6658" max="6658" width="9.140625" customWidth="1"/>
    <col min="6659" max="6659" width="14.28515625" customWidth="1"/>
    <col min="6660" max="6660" width="15.7109375" customWidth="1"/>
    <col min="6661" max="6661" width="13" customWidth="1"/>
    <col min="6662" max="6662" width="10.42578125" customWidth="1"/>
    <col min="6663" max="6663" width="12.28515625" customWidth="1"/>
    <col min="6664" max="6664" width="12.5703125" customWidth="1"/>
    <col min="6665" max="6665" width="11.5703125" customWidth="1"/>
    <col min="6666" max="6666" width="13.140625" customWidth="1"/>
    <col min="6667" max="6667" width="12.42578125" customWidth="1"/>
    <col min="6914" max="6914" width="9.140625" customWidth="1"/>
    <col min="6915" max="6915" width="14.28515625" customWidth="1"/>
    <col min="6916" max="6916" width="15.7109375" customWidth="1"/>
    <col min="6917" max="6917" width="13" customWidth="1"/>
    <col min="6918" max="6918" width="10.42578125" customWidth="1"/>
    <col min="6919" max="6919" width="12.28515625" customWidth="1"/>
    <col min="6920" max="6920" width="12.5703125" customWidth="1"/>
    <col min="6921" max="6921" width="11.5703125" customWidth="1"/>
    <col min="6922" max="6922" width="13.140625" customWidth="1"/>
    <col min="6923" max="6923" width="12.42578125" customWidth="1"/>
    <col min="7170" max="7170" width="9.140625" customWidth="1"/>
    <col min="7171" max="7171" width="14.28515625" customWidth="1"/>
    <col min="7172" max="7172" width="15.7109375" customWidth="1"/>
    <col min="7173" max="7173" width="13" customWidth="1"/>
    <col min="7174" max="7174" width="10.42578125" customWidth="1"/>
    <col min="7175" max="7175" width="12.28515625" customWidth="1"/>
    <col min="7176" max="7176" width="12.5703125" customWidth="1"/>
    <col min="7177" max="7177" width="11.5703125" customWidth="1"/>
    <col min="7178" max="7178" width="13.140625" customWidth="1"/>
    <col min="7179" max="7179" width="12.42578125" customWidth="1"/>
    <col min="7426" max="7426" width="9.140625" customWidth="1"/>
    <col min="7427" max="7427" width="14.28515625" customWidth="1"/>
    <col min="7428" max="7428" width="15.7109375" customWidth="1"/>
    <col min="7429" max="7429" width="13" customWidth="1"/>
    <col min="7430" max="7430" width="10.42578125" customWidth="1"/>
    <col min="7431" max="7431" width="12.28515625" customWidth="1"/>
    <col min="7432" max="7432" width="12.5703125" customWidth="1"/>
    <col min="7433" max="7433" width="11.5703125" customWidth="1"/>
    <col min="7434" max="7434" width="13.140625" customWidth="1"/>
    <col min="7435" max="7435" width="12.42578125" customWidth="1"/>
    <col min="7682" max="7682" width="9.140625" customWidth="1"/>
    <col min="7683" max="7683" width="14.28515625" customWidth="1"/>
    <col min="7684" max="7684" width="15.7109375" customWidth="1"/>
    <col min="7685" max="7685" width="13" customWidth="1"/>
    <col min="7686" max="7686" width="10.42578125" customWidth="1"/>
    <col min="7687" max="7687" width="12.28515625" customWidth="1"/>
    <col min="7688" max="7688" width="12.5703125" customWidth="1"/>
    <col min="7689" max="7689" width="11.5703125" customWidth="1"/>
    <col min="7690" max="7690" width="13.140625" customWidth="1"/>
    <col min="7691" max="7691" width="12.42578125" customWidth="1"/>
    <col min="7938" max="7938" width="9.140625" customWidth="1"/>
    <col min="7939" max="7939" width="14.28515625" customWidth="1"/>
    <col min="7940" max="7940" width="15.7109375" customWidth="1"/>
    <col min="7941" max="7941" width="13" customWidth="1"/>
    <col min="7942" max="7942" width="10.42578125" customWidth="1"/>
    <col min="7943" max="7943" width="12.28515625" customWidth="1"/>
    <col min="7944" max="7944" width="12.5703125" customWidth="1"/>
    <col min="7945" max="7945" width="11.5703125" customWidth="1"/>
    <col min="7946" max="7946" width="13.140625" customWidth="1"/>
    <col min="7947" max="7947" width="12.42578125" customWidth="1"/>
    <col min="8194" max="8194" width="9.140625" customWidth="1"/>
    <col min="8195" max="8195" width="14.28515625" customWidth="1"/>
    <col min="8196" max="8196" width="15.7109375" customWidth="1"/>
    <col min="8197" max="8197" width="13" customWidth="1"/>
    <col min="8198" max="8198" width="10.42578125" customWidth="1"/>
    <col min="8199" max="8199" width="12.28515625" customWidth="1"/>
    <col min="8200" max="8200" width="12.5703125" customWidth="1"/>
    <col min="8201" max="8201" width="11.5703125" customWidth="1"/>
    <col min="8202" max="8202" width="13.140625" customWidth="1"/>
    <col min="8203" max="8203" width="12.42578125" customWidth="1"/>
    <col min="8450" max="8450" width="9.140625" customWidth="1"/>
    <col min="8451" max="8451" width="14.28515625" customWidth="1"/>
    <col min="8452" max="8452" width="15.7109375" customWidth="1"/>
    <col min="8453" max="8453" width="13" customWidth="1"/>
    <col min="8454" max="8454" width="10.42578125" customWidth="1"/>
    <col min="8455" max="8455" width="12.28515625" customWidth="1"/>
    <col min="8456" max="8456" width="12.5703125" customWidth="1"/>
    <col min="8457" max="8457" width="11.5703125" customWidth="1"/>
    <col min="8458" max="8458" width="13.140625" customWidth="1"/>
    <col min="8459" max="8459" width="12.42578125" customWidth="1"/>
    <col min="8706" max="8706" width="9.140625" customWidth="1"/>
    <col min="8707" max="8707" width="14.28515625" customWidth="1"/>
    <col min="8708" max="8708" width="15.7109375" customWidth="1"/>
    <col min="8709" max="8709" width="13" customWidth="1"/>
    <col min="8710" max="8710" width="10.42578125" customWidth="1"/>
    <col min="8711" max="8711" width="12.28515625" customWidth="1"/>
    <col min="8712" max="8712" width="12.5703125" customWidth="1"/>
    <col min="8713" max="8713" width="11.5703125" customWidth="1"/>
    <col min="8714" max="8714" width="13.140625" customWidth="1"/>
    <col min="8715" max="8715" width="12.42578125" customWidth="1"/>
    <col min="8962" max="8962" width="9.140625" customWidth="1"/>
    <col min="8963" max="8963" width="14.28515625" customWidth="1"/>
    <col min="8964" max="8964" width="15.7109375" customWidth="1"/>
    <col min="8965" max="8965" width="13" customWidth="1"/>
    <col min="8966" max="8966" width="10.42578125" customWidth="1"/>
    <col min="8967" max="8967" width="12.28515625" customWidth="1"/>
    <col min="8968" max="8968" width="12.5703125" customWidth="1"/>
    <col min="8969" max="8969" width="11.5703125" customWidth="1"/>
    <col min="8970" max="8970" width="13.140625" customWidth="1"/>
    <col min="8971" max="8971" width="12.42578125" customWidth="1"/>
    <col min="9218" max="9218" width="9.140625" customWidth="1"/>
    <col min="9219" max="9219" width="14.28515625" customWidth="1"/>
    <col min="9220" max="9220" width="15.7109375" customWidth="1"/>
    <col min="9221" max="9221" width="13" customWidth="1"/>
    <col min="9222" max="9222" width="10.42578125" customWidth="1"/>
    <col min="9223" max="9223" width="12.28515625" customWidth="1"/>
    <col min="9224" max="9224" width="12.5703125" customWidth="1"/>
    <col min="9225" max="9225" width="11.5703125" customWidth="1"/>
    <col min="9226" max="9226" width="13.140625" customWidth="1"/>
    <col min="9227" max="9227" width="12.42578125" customWidth="1"/>
    <col min="9474" max="9474" width="9.140625" customWidth="1"/>
    <col min="9475" max="9475" width="14.28515625" customWidth="1"/>
    <col min="9476" max="9476" width="15.7109375" customWidth="1"/>
    <col min="9477" max="9477" width="13" customWidth="1"/>
    <col min="9478" max="9478" width="10.42578125" customWidth="1"/>
    <col min="9479" max="9479" width="12.28515625" customWidth="1"/>
    <col min="9480" max="9480" width="12.5703125" customWidth="1"/>
    <col min="9481" max="9481" width="11.5703125" customWidth="1"/>
    <col min="9482" max="9482" width="13.140625" customWidth="1"/>
    <col min="9483" max="9483" width="12.42578125" customWidth="1"/>
    <col min="9730" max="9730" width="9.140625" customWidth="1"/>
    <col min="9731" max="9731" width="14.28515625" customWidth="1"/>
    <col min="9732" max="9732" width="15.7109375" customWidth="1"/>
    <col min="9733" max="9733" width="13" customWidth="1"/>
    <col min="9734" max="9734" width="10.42578125" customWidth="1"/>
    <col min="9735" max="9735" width="12.28515625" customWidth="1"/>
    <col min="9736" max="9736" width="12.5703125" customWidth="1"/>
    <col min="9737" max="9737" width="11.5703125" customWidth="1"/>
    <col min="9738" max="9738" width="13.140625" customWidth="1"/>
    <col min="9739" max="9739" width="12.42578125" customWidth="1"/>
    <col min="9986" max="9986" width="9.140625" customWidth="1"/>
    <col min="9987" max="9987" width="14.28515625" customWidth="1"/>
    <col min="9988" max="9988" width="15.7109375" customWidth="1"/>
    <col min="9989" max="9989" width="13" customWidth="1"/>
    <col min="9990" max="9990" width="10.42578125" customWidth="1"/>
    <col min="9991" max="9991" width="12.28515625" customWidth="1"/>
    <col min="9992" max="9992" width="12.5703125" customWidth="1"/>
    <col min="9993" max="9993" width="11.5703125" customWidth="1"/>
    <col min="9994" max="9994" width="13.140625" customWidth="1"/>
    <col min="9995" max="9995" width="12.42578125" customWidth="1"/>
    <col min="10242" max="10242" width="9.140625" customWidth="1"/>
    <col min="10243" max="10243" width="14.28515625" customWidth="1"/>
    <col min="10244" max="10244" width="15.7109375" customWidth="1"/>
    <col min="10245" max="10245" width="13" customWidth="1"/>
    <col min="10246" max="10246" width="10.42578125" customWidth="1"/>
    <col min="10247" max="10247" width="12.28515625" customWidth="1"/>
    <col min="10248" max="10248" width="12.5703125" customWidth="1"/>
    <col min="10249" max="10249" width="11.5703125" customWidth="1"/>
    <col min="10250" max="10250" width="13.140625" customWidth="1"/>
    <col min="10251" max="10251" width="12.42578125" customWidth="1"/>
    <col min="10498" max="10498" width="9.140625" customWidth="1"/>
    <col min="10499" max="10499" width="14.28515625" customWidth="1"/>
    <col min="10500" max="10500" width="15.7109375" customWidth="1"/>
    <col min="10501" max="10501" width="13" customWidth="1"/>
    <col min="10502" max="10502" width="10.42578125" customWidth="1"/>
    <col min="10503" max="10503" width="12.28515625" customWidth="1"/>
    <col min="10504" max="10504" width="12.5703125" customWidth="1"/>
    <col min="10505" max="10505" width="11.5703125" customWidth="1"/>
    <col min="10506" max="10506" width="13.140625" customWidth="1"/>
    <col min="10507" max="10507" width="12.42578125" customWidth="1"/>
    <col min="10754" max="10754" width="9.140625" customWidth="1"/>
    <col min="10755" max="10755" width="14.28515625" customWidth="1"/>
    <col min="10756" max="10756" width="15.7109375" customWidth="1"/>
    <col min="10757" max="10757" width="13" customWidth="1"/>
    <col min="10758" max="10758" width="10.42578125" customWidth="1"/>
    <col min="10759" max="10759" width="12.28515625" customWidth="1"/>
    <col min="10760" max="10760" width="12.5703125" customWidth="1"/>
    <col min="10761" max="10761" width="11.5703125" customWidth="1"/>
    <col min="10762" max="10762" width="13.140625" customWidth="1"/>
    <col min="10763" max="10763" width="12.42578125" customWidth="1"/>
    <col min="11010" max="11010" width="9.140625" customWidth="1"/>
    <col min="11011" max="11011" width="14.28515625" customWidth="1"/>
    <col min="11012" max="11012" width="15.7109375" customWidth="1"/>
    <col min="11013" max="11013" width="13" customWidth="1"/>
    <col min="11014" max="11014" width="10.42578125" customWidth="1"/>
    <col min="11015" max="11015" width="12.28515625" customWidth="1"/>
    <col min="11016" max="11016" width="12.5703125" customWidth="1"/>
    <col min="11017" max="11017" width="11.5703125" customWidth="1"/>
    <col min="11018" max="11018" width="13.140625" customWidth="1"/>
    <col min="11019" max="11019" width="12.42578125" customWidth="1"/>
    <col min="11266" max="11266" width="9.140625" customWidth="1"/>
    <col min="11267" max="11267" width="14.28515625" customWidth="1"/>
    <col min="11268" max="11268" width="15.7109375" customWidth="1"/>
    <col min="11269" max="11269" width="13" customWidth="1"/>
    <col min="11270" max="11270" width="10.42578125" customWidth="1"/>
    <col min="11271" max="11271" width="12.28515625" customWidth="1"/>
    <col min="11272" max="11272" width="12.5703125" customWidth="1"/>
    <col min="11273" max="11273" width="11.5703125" customWidth="1"/>
    <col min="11274" max="11274" width="13.140625" customWidth="1"/>
    <col min="11275" max="11275" width="12.42578125" customWidth="1"/>
    <col min="11522" max="11522" width="9.140625" customWidth="1"/>
    <col min="11523" max="11523" width="14.28515625" customWidth="1"/>
    <col min="11524" max="11524" width="15.7109375" customWidth="1"/>
    <col min="11525" max="11525" width="13" customWidth="1"/>
    <col min="11526" max="11526" width="10.42578125" customWidth="1"/>
    <col min="11527" max="11527" width="12.28515625" customWidth="1"/>
    <col min="11528" max="11528" width="12.5703125" customWidth="1"/>
    <col min="11529" max="11529" width="11.5703125" customWidth="1"/>
    <col min="11530" max="11530" width="13.140625" customWidth="1"/>
    <col min="11531" max="11531" width="12.42578125" customWidth="1"/>
    <col min="11778" max="11778" width="9.140625" customWidth="1"/>
    <col min="11779" max="11779" width="14.28515625" customWidth="1"/>
    <col min="11780" max="11780" width="15.7109375" customWidth="1"/>
    <col min="11781" max="11781" width="13" customWidth="1"/>
    <col min="11782" max="11782" width="10.42578125" customWidth="1"/>
    <col min="11783" max="11783" width="12.28515625" customWidth="1"/>
    <col min="11784" max="11784" width="12.5703125" customWidth="1"/>
    <col min="11785" max="11785" width="11.5703125" customWidth="1"/>
    <col min="11786" max="11786" width="13.140625" customWidth="1"/>
    <col min="11787" max="11787" width="12.42578125" customWidth="1"/>
    <col min="12034" max="12034" width="9.140625" customWidth="1"/>
    <col min="12035" max="12035" width="14.28515625" customWidth="1"/>
    <col min="12036" max="12036" width="15.7109375" customWidth="1"/>
    <col min="12037" max="12037" width="13" customWidth="1"/>
    <col min="12038" max="12038" width="10.42578125" customWidth="1"/>
    <col min="12039" max="12039" width="12.28515625" customWidth="1"/>
    <col min="12040" max="12040" width="12.5703125" customWidth="1"/>
    <col min="12041" max="12041" width="11.5703125" customWidth="1"/>
    <col min="12042" max="12042" width="13.140625" customWidth="1"/>
    <col min="12043" max="12043" width="12.42578125" customWidth="1"/>
    <col min="12290" max="12290" width="9.140625" customWidth="1"/>
    <col min="12291" max="12291" width="14.28515625" customWidth="1"/>
    <col min="12292" max="12292" width="15.7109375" customWidth="1"/>
    <col min="12293" max="12293" width="13" customWidth="1"/>
    <col min="12294" max="12294" width="10.42578125" customWidth="1"/>
    <col min="12295" max="12295" width="12.28515625" customWidth="1"/>
    <col min="12296" max="12296" width="12.5703125" customWidth="1"/>
    <col min="12297" max="12297" width="11.5703125" customWidth="1"/>
    <col min="12298" max="12298" width="13.140625" customWidth="1"/>
    <col min="12299" max="12299" width="12.42578125" customWidth="1"/>
    <col min="12546" max="12546" width="9.140625" customWidth="1"/>
    <col min="12547" max="12547" width="14.28515625" customWidth="1"/>
    <col min="12548" max="12548" width="15.7109375" customWidth="1"/>
    <col min="12549" max="12549" width="13" customWidth="1"/>
    <col min="12550" max="12550" width="10.42578125" customWidth="1"/>
    <col min="12551" max="12551" width="12.28515625" customWidth="1"/>
    <col min="12552" max="12552" width="12.5703125" customWidth="1"/>
    <col min="12553" max="12553" width="11.5703125" customWidth="1"/>
    <col min="12554" max="12554" width="13.140625" customWidth="1"/>
    <col min="12555" max="12555" width="12.42578125" customWidth="1"/>
    <col min="12802" max="12802" width="9.140625" customWidth="1"/>
    <col min="12803" max="12803" width="14.28515625" customWidth="1"/>
    <col min="12804" max="12804" width="15.7109375" customWidth="1"/>
    <col min="12805" max="12805" width="13" customWidth="1"/>
    <col min="12806" max="12806" width="10.42578125" customWidth="1"/>
    <col min="12807" max="12807" width="12.28515625" customWidth="1"/>
    <col min="12808" max="12808" width="12.5703125" customWidth="1"/>
    <col min="12809" max="12809" width="11.5703125" customWidth="1"/>
    <col min="12810" max="12810" width="13.140625" customWidth="1"/>
    <col min="12811" max="12811" width="12.42578125" customWidth="1"/>
    <col min="13058" max="13058" width="9.140625" customWidth="1"/>
    <col min="13059" max="13059" width="14.28515625" customWidth="1"/>
    <col min="13060" max="13060" width="15.7109375" customWidth="1"/>
    <col min="13061" max="13061" width="13" customWidth="1"/>
    <col min="13062" max="13062" width="10.42578125" customWidth="1"/>
    <col min="13063" max="13063" width="12.28515625" customWidth="1"/>
    <col min="13064" max="13064" width="12.5703125" customWidth="1"/>
    <col min="13065" max="13065" width="11.5703125" customWidth="1"/>
    <col min="13066" max="13066" width="13.140625" customWidth="1"/>
    <col min="13067" max="13067" width="12.42578125" customWidth="1"/>
    <col min="13314" max="13314" width="9.140625" customWidth="1"/>
    <col min="13315" max="13315" width="14.28515625" customWidth="1"/>
    <col min="13316" max="13316" width="15.7109375" customWidth="1"/>
    <col min="13317" max="13317" width="13" customWidth="1"/>
    <col min="13318" max="13318" width="10.42578125" customWidth="1"/>
    <col min="13319" max="13319" width="12.28515625" customWidth="1"/>
    <col min="13320" max="13320" width="12.5703125" customWidth="1"/>
    <col min="13321" max="13321" width="11.5703125" customWidth="1"/>
    <col min="13322" max="13322" width="13.140625" customWidth="1"/>
    <col min="13323" max="13323" width="12.42578125" customWidth="1"/>
    <col min="13570" max="13570" width="9.140625" customWidth="1"/>
    <col min="13571" max="13571" width="14.28515625" customWidth="1"/>
    <col min="13572" max="13572" width="15.7109375" customWidth="1"/>
    <col min="13573" max="13573" width="13" customWidth="1"/>
    <col min="13574" max="13574" width="10.42578125" customWidth="1"/>
    <col min="13575" max="13575" width="12.28515625" customWidth="1"/>
    <col min="13576" max="13576" width="12.5703125" customWidth="1"/>
    <col min="13577" max="13577" width="11.5703125" customWidth="1"/>
    <col min="13578" max="13578" width="13.140625" customWidth="1"/>
    <col min="13579" max="13579" width="12.42578125" customWidth="1"/>
    <col min="13826" max="13826" width="9.140625" customWidth="1"/>
    <col min="13827" max="13827" width="14.28515625" customWidth="1"/>
    <col min="13828" max="13828" width="15.7109375" customWidth="1"/>
    <col min="13829" max="13829" width="13" customWidth="1"/>
    <col min="13830" max="13830" width="10.42578125" customWidth="1"/>
    <col min="13831" max="13831" width="12.28515625" customWidth="1"/>
    <col min="13832" max="13832" width="12.5703125" customWidth="1"/>
    <col min="13833" max="13833" width="11.5703125" customWidth="1"/>
    <col min="13834" max="13834" width="13.140625" customWidth="1"/>
    <col min="13835" max="13835" width="12.42578125" customWidth="1"/>
    <col min="14082" max="14082" width="9.140625" customWidth="1"/>
    <col min="14083" max="14083" width="14.28515625" customWidth="1"/>
    <col min="14084" max="14084" width="15.7109375" customWidth="1"/>
    <col min="14085" max="14085" width="13" customWidth="1"/>
    <col min="14086" max="14086" width="10.42578125" customWidth="1"/>
    <col min="14087" max="14087" width="12.28515625" customWidth="1"/>
    <col min="14088" max="14088" width="12.5703125" customWidth="1"/>
    <col min="14089" max="14089" width="11.5703125" customWidth="1"/>
    <col min="14090" max="14090" width="13.140625" customWidth="1"/>
    <col min="14091" max="14091" width="12.42578125" customWidth="1"/>
    <col min="14338" max="14338" width="9.140625" customWidth="1"/>
    <col min="14339" max="14339" width="14.28515625" customWidth="1"/>
    <col min="14340" max="14340" width="15.7109375" customWidth="1"/>
    <col min="14341" max="14341" width="13" customWidth="1"/>
    <col min="14342" max="14342" width="10.42578125" customWidth="1"/>
    <col min="14343" max="14343" width="12.28515625" customWidth="1"/>
    <col min="14344" max="14344" width="12.5703125" customWidth="1"/>
    <col min="14345" max="14345" width="11.5703125" customWidth="1"/>
    <col min="14346" max="14346" width="13.140625" customWidth="1"/>
    <col min="14347" max="14347" width="12.42578125" customWidth="1"/>
    <col min="14594" max="14594" width="9.140625" customWidth="1"/>
    <col min="14595" max="14595" width="14.28515625" customWidth="1"/>
    <col min="14596" max="14596" width="15.7109375" customWidth="1"/>
    <col min="14597" max="14597" width="13" customWidth="1"/>
    <col min="14598" max="14598" width="10.42578125" customWidth="1"/>
    <col min="14599" max="14599" width="12.28515625" customWidth="1"/>
    <col min="14600" max="14600" width="12.5703125" customWidth="1"/>
    <col min="14601" max="14601" width="11.5703125" customWidth="1"/>
    <col min="14602" max="14602" width="13.140625" customWidth="1"/>
    <col min="14603" max="14603" width="12.42578125" customWidth="1"/>
    <col min="14850" max="14850" width="9.140625" customWidth="1"/>
    <col min="14851" max="14851" width="14.28515625" customWidth="1"/>
    <col min="14852" max="14852" width="15.7109375" customWidth="1"/>
    <col min="14853" max="14853" width="13" customWidth="1"/>
    <col min="14854" max="14854" width="10.42578125" customWidth="1"/>
    <col min="14855" max="14855" width="12.28515625" customWidth="1"/>
    <col min="14856" max="14856" width="12.5703125" customWidth="1"/>
    <col min="14857" max="14857" width="11.5703125" customWidth="1"/>
    <col min="14858" max="14858" width="13.140625" customWidth="1"/>
    <col min="14859" max="14859" width="12.42578125" customWidth="1"/>
    <col min="15106" max="15106" width="9.140625" customWidth="1"/>
    <col min="15107" max="15107" width="14.28515625" customWidth="1"/>
    <col min="15108" max="15108" width="15.7109375" customWidth="1"/>
    <col min="15109" max="15109" width="13" customWidth="1"/>
    <col min="15110" max="15110" width="10.42578125" customWidth="1"/>
    <col min="15111" max="15111" width="12.28515625" customWidth="1"/>
    <col min="15112" max="15112" width="12.5703125" customWidth="1"/>
    <col min="15113" max="15113" width="11.5703125" customWidth="1"/>
    <col min="15114" max="15114" width="13.140625" customWidth="1"/>
    <col min="15115" max="15115" width="12.42578125" customWidth="1"/>
    <col min="15362" max="15362" width="9.140625" customWidth="1"/>
    <col min="15363" max="15363" width="14.28515625" customWidth="1"/>
    <col min="15364" max="15364" width="15.7109375" customWidth="1"/>
    <col min="15365" max="15365" width="13" customWidth="1"/>
    <col min="15366" max="15366" width="10.42578125" customWidth="1"/>
    <col min="15367" max="15367" width="12.28515625" customWidth="1"/>
    <col min="15368" max="15368" width="12.5703125" customWidth="1"/>
    <col min="15369" max="15369" width="11.5703125" customWidth="1"/>
    <col min="15370" max="15370" width="13.140625" customWidth="1"/>
    <col min="15371" max="15371" width="12.42578125" customWidth="1"/>
    <col min="15618" max="15618" width="9.140625" customWidth="1"/>
    <col min="15619" max="15619" width="14.28515625" customWidth="1"/>
    <col min="15620" max="15620" width="15.7109375" customWidth="1"/>
    <col min="15621" max="15621" width="13" customWidth="1"/>
    <col min="15622" max="15622" width="10.42578125" customWidth="1"/>
    <col min="15623" max="15623" width="12.28515625" customWidth="1"/>
    <col min="15624" max="15624" width="12.5703125" customWidth="1"/>
    <col min="15625" max="15625" width="11.5703125" customWidth="1"/>
    <col min="15626" max="15626" width="13.140625" customWidth="1"/>
    <col min="15627" max="15627" width="12.42578125" customWidth="1"/>
    <col min="15874" max="15874" width="9.140625" customWidth="1"/>
    <col min="15875" max="15875" width="14.28515625" customWidth="1"/>
    <col min="15876" max="15876" width="15.7109375" customWidth="1"/>
    <col min="15877" max="15877" width="13" customWidth="1"/>
    <col min="15878" max="15878" width="10.42578125" customWidth="1"/>
    <col min="15879" max="15879" width="12.28515625" customWidth="1"/>
    <col min="15880" max="15880" width="12.5703125" customWidth="1"/>
    <col min="15881" max="15881" width="11.5703125" customWidth="1"/>
    <col min="15882" max="15882" width="13.140625" customWidth="1"/>
    <col min="15883" max="15883" width="12.42578125" customWidth="1"/>
    <col min="16130" max="16130" width="9.140625" customWidth="1"/>
    <col min="16131" max="16131" width="14.28515625" customWidth="1"/>
    <col min="16132" max="16132" width="15.7109375" customWidth="1"/>
    <col min="16133" max="16133" width="13" customWidth="1"/>
    <col min="16134" max="16134" width="10.42578125" customWidth="1"/>
    <col min="16135" max="16135" width="12.28515625" customWidth="1"/>
    <col min="16136" max="16136" width="12.5703125" customWidth="1"/>
    <col min="16137" max="16137" width="11.5703125" customWidth="1"/>
    <col min="16138" max="16138" width="13.140625" customWidth="1"/>
    <col min="16139" max="16139" width="12.42578125" customWidth="1"/>
  </cols>
  <sheetData>
    <row r="2" spans="2:11" ht="15.75">
      <c r="B2" s="575" t="s">
        <v>135</v>
      </c>
      <c r="C2" s="575"/>
      <c r="D2" s="575"/>
      <c r="E2" s="575"/>
      <c r="F2" s="575"/>
      <c r="G2" s="575"/>
      <c r="H2" s="575"/>
      <c r="I2" s="575"/>
      <c r="J2" s="575"/>
      <c r="K2" s="575"/>
    </row>
    <row r="3" spans="2:11" ht="18.75" thickBot="1">
      <c r="B3" s="130"/>
      <c r="C3" s="130"/>
      <c r="D3" s="130"/>
      <c r="E3" s="130"/>
      <c r="F3" s="130"/>
      <c r="G3" s="130"/>
      <c r="H3" s="130"/>
    </row>
    <row r="4" spans="2:11" ht="16.5" customHeight="1">
      <c r="B4" s="576" t="s">
        <v>136</v>
      </c>
      <c r="C4" s="577"/>
      <c r="D4" s="577" t="s">
        <v>137</v>
      </c>
      <c r="E4" s="577" t="s">
        <v>138</v>
      </c>
      <c r="F4" s="580" t="s">
        <v>139</v>
      </c>
      <c r="G4" s="580"/>
      <c r="H4" s="580"/>
      <c r="I4" s="581" t="s">
        <v>140</v>
      </c>
      <c r="J4" s="582"/>
      <c r="K4" s="583"/>
    </row>
    <row r="5" spans="2:11" ht="30" customHeight="1" thickBot="1">
      <c r="B5" s="578"/>
      <c r="C5" s="579"/>
      <c r="D5" s="579"/>
      <c r="E5" s="579"/>
      <c r="F5" s="131" t="s">
        <v>141</v>
      </c>
      <c r="G5" s="131" t="s">
        <v>142</v>
      </c>
      <c r="H5" s="131" t="s">
        <v>143</v>
      </c>
      <c r="I5" s="131" t="s">
        <v>141</v>
      </c>
      <c r="J5" s="131" t="s">
        <v>142</v>
      </c>
      <c r="K5" s="132" t="s">
        <v>143</v>
      </c>
    </row>
    <row r="6" spans="2:11" ht="15.75">
      <c r="B6" s="133" t="s">
        <v>144</v>
      </c>
      <c r="C6" s="134" t="s">
        <v>145</v>
      </c>
      <c r="D6" s="134">
        <v>0.32</v>
      </c>
      <c r="E6" s="134">
        <v>4</v>
      </c>
      <c r="F6" s="135">
        <v>644.3293111013603</v>
      </c>
      <c r="G6" s="135">
        <v>361.88996763754045</v>
      </c>
      <c r="H6" s="135">
        <f>SUM(F6:G6)</f>
        <v>1006.2192787389008</v>
      </c>
      <c r="I6" s="136">
        <v>17</v>
      </c>
      <c r="J6" s="137">
        <v>12</v>
      </c>
      <c r="K6" s="138">
        <f>I6+J6</f>
        <v>29</v>
      </c>
    </row>
    <row r="7" spans="2:11" ht="15.75">
      <c r="B7" s="139" t="s">
        <v>146</v>
      </c>
      <c r="C7" s="140" t="s">
        <v>147</v>
      </c>
      <c r="D7" s="140">
        <v>0.49</v>
      </c>
      <c r="E7" s="140">
        <v>5</v>
      </c>
      <c r="F7" s="141">
        <v>2171.7617376042126</v>
      </c>
      <c r="G7" s="141">
        <v>200.44336569579286</v>
      </c>
      <c r="H7" s="135">
        <f t="shared" ref="H7:H12" si="0">SUM(F7:G7)</f>
        <v>2372.2051033000052</v>
      </c>
      <c r="I7" s="141">
        <v>15</v>
      </c>
      <c r="J7" s="142">
        <v>18</v>
      </c>
      <c r="K7" s="143">
        <f t="shared" ref="K7:K12" si="1">I7+J7</f>
        <v>33</v>
      </c>
    </row>
    <row r="8" spans="2:11" ht="15.75">
      <c r="B8" s="139" t="s">
        <v>148</v>
      </c>
      <c r="C8" s="140" t="s">
        <v>149</v>
      </c>
      <c r="D8" s="140">
        <v>0.48</v>
      </c>
      <c r="E8" s="140">
        <v>5</v>
      </c>
      <c r="F8" s="141">
        <v>2062.5737165423434</v>
      </c>
      <c r="G8" s="141">
        <v>44.456310679611647</v>
      </c>
      <c r="H8" s="135">
        <f t="shared" si="0"/>
        <v>2107.0300272219552</v>
      </c>
      <c r="I8" s="141">
        <v>25</v>
      </c>
      <c r="J8" s="142"/>
      <c r="K8" s="143">
        <f t="shared" si="1"/>
        <v>25</v>
      </c>
    </row>
    <row r="9" spans="2:11" ht="15.75">
      <c r="B9" s="139" t="s">
        <v>150</v>
      </c>
      <c r="C9" s="140" t="s">
        <v>151</v>
      </c>
      <c r="D9" s="140">
        <v>0.37</v>
      </c>
      <c r="E9" s="140">
        <v>5</v>
      </c>
      <c r="F9" s="141">
        <v>1462.6395348837209</v>
      </c>
      <c r="G9" s="141">
        <v>157.54692556634302</v>
      </c>
      <c r="H9" s="135">
        <f t="shared" si="0"/>
        <v>1620.1864604500638</v>
      </c>
      <c r="I9" s="141">
        <v>26</v>
      </c>
      <c r="J9" s="142"/>
      <c r="K9" s="143">
        <f t="shared" si="1"/>
        <v>26</v>
      </c>
    </row>
    <row r="10" spans="2:11" ht="15.75">
      <c r="B10" s="139" t="s">
        <v>152</v>
      </c>
      <c r="C10" s="140" t="s">
        <v>153</v>
      </c>
      <c r="D10" s="140">
        <v>0.46</v>
      </c>
      <c r="E10" s="140">
        <v>5</v>
      </c>
      <c r="F10" s="141">
        <v>2037.376480912681</v>
      </c>
      <c r="G10" s="141">
        <v>199.66343042071196</v>
      </c>
      <c r="H10" s="135">
        <f t="shared" si="0"/>
        <v>2237.0399113333929</v>
      </c>
      <c r="I10" s="141">
        <v>30</v>
      </c>
      <c r="J10" s="142"/>
      <c r="K10" s="143">
        <f t="shared" si="1"/>
        <v>30</v>
      </c>
    </row>
    <row r="11" spans="2:11" ht="15.75">
      <c r="B11" s="139" t="s">
        <v>154</v>
      </c>
      <c r="C11" s="140" t="s">
        <v>155</v>
      </c>
      <c r="D11" s="140">
        <v>0.06</v>
      </c>
      <c r="E11" s="140">
        <v>5</v>
      </c>
      <c r="F11" s="141">
        <v>169.18143922773146</v>
      </c>
      <c r="G11" s="141">
        <v>0</v>
      </c>
      <c r="H11" s="135">
        <f t="shared" si="0"/>
        <v>169.18143922773146</v>
      </c>
      <c r="I11" s="141">
        <v>3</v>
      </c>
      <c r="J11" s="142"/>
      <c r="K11" s="143">
        <f t="shared" si="1"/>
        <v>3</v>
      </c>
    </row>
    <row r="12" spans="2:11" ht="16.5" thickBot="1">
      <c r="B12" s="144" t="s">
        <v>156</v>
      </c>
      <c r="C12" s="145" t="s">
        <v>157</v>
      </c>
      <c r="D12" s="145">
        <v>0.41</v>
      </c>
      <c r="E12" s="145">
        <v>5</v>
      </c>
      <c r="F12" s="146">
        <v>2390.1377797279511</v>
      </c>
      <c r="G12" s="146">
        <v>0</v>
      </c>
      <c r="H12" s="135">
        <f t="shared" si="0"/>
        <v>2390.1377797279511</v>
      </c>
      <c r="I12" s="147">
        <v>24</v>
      </c>
      <c r="J12" s="148"/>
      <c r="K12" s="149">
        <f t="shared" si="1"/>
        <v>24</v>
      </c>
    </row>
    <row r="13" spans="2:11" ht="16.5" thickBot="1">
      <c r="B13" s="573" t="s">
        <v>158</v>
      </c>
      <c r="C13" s="574"/>
      <c r="D13" s="150">
        <f>SUM(D6:D12)</f>
        <v>2.5900000000000003</v>
      </c>
      <c r="E13" s="151" t="s">
        <v>159</v>
      </c>
      <c r="F13" s="152">
        <f>SUM(F6:F12)</f>
        <v>10938.000000000002</v>
      </c>
      <c r="G13" s="152">
        <v>884</v>
      </c>
      <c r="H13" s="152">
        <f>SUM(F13:G13)</f>
        <v>11822.000000000002</v>
      </c>
      <c r="I13" s="152">
        <v>146</v>
      </c>
      <c r="J13" s="152">
        <v>24</v>
      </c>
      <c r="K13" s="153">
        <f>SUM(K6:K12)</f>
        <v>170</v>
      </c>
    </row>
    <row r="15" spans="2:11">
      <c r="F15" s="155">
        <v>10938</v>
      </c>
      <c r="G15" s="155">
        <v>964</v>
      </c>
      <c r="H15" s="155">
        <v>11902</v>
      </c>
    </row>
  </sheetData>
  <mergeCells count="7">
    <mergeCell ref="B13:C13"/>
    <mergeCell ref="B2:K2"/>
    <mergeCell ref="B4:C5"/>
    <mergeCell ref="D4:D5"/>
    <mergeCell ref="E4:E5"/>
    <mergeCell ref="F4:H4"/>
    <mergeCell ref="I4:K4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  <ignoredErrors>
    <ignoredError sqref="H6:H7" formulaRange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60"/>
  <sheetViews>
    <sheetView zoomScaleNormal="100" workbookViewId="0">
      <selection activeCell="M61" sqref="M61"/>
    </sheetView>
  </sheetViews>
  <sheetFormatPr defaultRowHeight="15"/>
  <cols>
    <col min="1" max="1" width="4.7109375" style="278" customWidth="1"/>
    <col min="2" max="2" width="12.7109375" style="156" bestFit="1" customWidth="1"/>
    <col min="3" max="3" width="14.140625" style="156" customWidth="1"/>
    <col min="4" max="4" width="16.42578125" style="156" bestFit="1" customWidth="1"/>
    <col min="5" max="5" width="14.28515625" style="156" customWidth="1"/>
    <col min="6" max="6" width="12.28515625" style="156" customWidth="1"/>
    <col min="7" max="7" width="16.7109375" style="156" customWidth="1"/>
    <col min="8" max="8" width="17.140625" style="156" customWidth="1"/>
    <col min="9" max="9" width="15.5703125" style="290" customWidth="1"/>
    <col min="10" max="10" width="14" style="156" customWidth="1"/>
    <col min="11" max="11" width="13.5703125" style="156" bestFit="1" customWidth="1"/>
    <col min="12" max="12" width="9.140625" style="156"/>
    <col min="13" max="14" width="11.5703125" style="156" bestFit="1" customWidth="1"/>
    <col min="15" max="16" width="9.140625" style="156"/>
    <col min="17" max="16384" width="9.140625" style="278"/>
  </cols>
  <sheetData>
    <row r="1" spans="2:16">
      <c r="B1" s="587" t="s">
        <v>256</v>
      </c>
      <c r="C1" s="588"/>
    </row>
    <row r="2" spans="2:16">
      <c r="B2" s="291"/>
      <c r="C2" s="292"/>
    </row>
    <row r="3" spans="2:16">
      <c r="B3" s="589" t="s">
        <v>336</v>
      </c>
      <c r="C3" s="590"/>
      <c r="D3" s="590"/>
      <c r="E3" s="590"/>
      <c r="F3" s="590"/>
      <c r="G3" s="590"/>
      <c r="H3" s="590"/>
      <c r="I3" s="590"/>
      <c r="J3" s="590"/>
      <c r="K3" s="590"/>
    </row>
    <row r="4" spans="2:16">
      <c r="B4" s="335"/>
      <c r="C4" s="336" t="s">
        <v>365</v>
      </c>
      <c r="D4" s="336" t="s">
        <v>365</v>
      </c>
      <c r="E4" s="336"/>
      <c r="F4" s="336"/>
      <c r="G4" s="336"/>
      <c r="H4" s="336"/>
      <c r="I4" s="336"/>
      <c r="J4" s="336"/>
      <c r="K4" s="336"/>
    </row>
    <row r="5" spans="2:16">
      <c r="B5" s="340"/>
      <c r="C5" s="341" t="s">
        <v>190</v>
      </c>
      <c r="D5" s="341" t="s">
        <v>311</v>
      </c>
      <c r="E5" s="341" t="s">
        <v>312</v>
      </c>
      <c r="F5" s="341"/>
      <c r="G5" s="341" t="s">
        <v>314</v>
      </c>
      <c r="H5" s="341" t="s">
        <v>315</v>
      </c>
      <c r="I5" s="341" t="s">
        <v>331</v>
      </c>
      <c r="J5" s="341"/>
      <c r="K5" s="341" t="s">
        <v>332</v>
      </c>
    </row>
    <row r="6" spans="2:16">
      <c r="B6" s="338" t="s">
        <v>329</v>
      </c>
      <c r="C6" s="20">
        <f>+C18+C40</f>
        <v>0</v>
      </c>
      <c r="D6" s="20">
        <f>+D18+D40</f>
        <v>15875</v>
      </c>
      <c r="E6" s="20">
        <f>SUM(C6:D6)</f>
        <v>15875</v>
      </c>
      <c r="F6" s="20"/>
      <c r="G6" s="20">
        <f>+G42+G20</f>
        <v>0</v>
      </c>
      <c r="H6" s="20">
        <f>+H42+H20</f>
        <v>0</v>
      </c>
      <c r="I6" s="20">
        <f>+I42+I20</f>
        <v>0</v>
      </c>
      <c r="J6" s="20"/>
      <c r="K6" s="20">
        <f>+K42+K20</f>
        <v>20161</v>
      </c>
    </row>
    <row r="7" spans="2:16">
      <c r="B7" s="338" t="s">
        <v>319</v>
      </c>
      <c r="C7" s="20">
        <f>+C21+C43</f>
        <v>0</v>
      </c>
      <c r="D7" s="20">
        <f>+D21+D43</f>
        <v>2917595</v>
      </c>
      <c r="E7" s="20">
        <f t="shared" ref="E7:E11" si="0">SUM(C7:D7)</f>
        <v>2917595</v>
      </c>
      <c r="F7" s="20"/>
      <c r="G7" s="20">
        <f>+G23+G45</f>
        <v>0</v>
      </c>
      <c r="H7" s="20">
        <f>+H23+H45</f>
        <v>0</v>
      </c>
      <c r="I7" s="20">
        <f>+I23+I45</f>
        <v>0</v>
      </c>
      <c r="J7" s="20"/>
      <c r="K7" s="20">
        <f>+K23+K45</f>
        <v>3705346</v>
      </c>
    </row>
    <row r="8" spans="2:16">
      <c r="B8" s="338" t="s">
        <v>330</v>
      </c>
      <c r="C8" s="20">
        <f>+C24+C49</f>
        <v>4798260</v>
      </c>
      <c r="D8" s="20">
        <f>+D24+D49</f>
        <v>5670197</v>
      </c>
      <c r="E8" s="20">
        <f t="shared" si="0"/>
        <v>10468457</v>
      </c>
      <c r="F8" s="20"/>
      <c r="G8" s="20">
        <f>+G26+G48</f>
        <v>0</v>
      </c>
      <c r="H8" s="20">
        <f>+H26+H48</f>
        <v>0</v>
      </c>
      <c r="I8" s="20">
        <f>+I26+I48</f>
        <v>0</v>
      </c>
      <c r="J8" s="20"/>
      <c r="K8" s="20">
        <f>+K26+K48</f>
        <v>11691449</v>
      </c>
    </row>
    <row r="9" spans="2:16">
      <c r="B9" s="338" t="s">
        <v>321</v>
      </c>
      <c r="C9" s="20">
        <f>+C27+C49</f>
        <v>8086583</v>
      </c>
      <c r="D9" s="20">
        <f>+D27+D49</f>
        <v>15169719</v>
      </c>
      <c r="E9" s="20">
        <f t="shared" si="0"/>
        <v>23256302</v>
      </c>
      <c r="F9" s="20"/>
      <c r="G9" s="20">
        <f>+G29+G51</f>
        <v>4155052</v>
      </c>
      <c r="H9" s="20">
        <f>+H29+H51</f>
        <v>267790</v>
      </c>
      <c r="I9" s="20">
        <f>+I29+I51</f>
        <v>4422842</v>
      </c>
      <c r="J9" s="20"/>
      <c r="K9" s="20">
        <f>+K29+K51</f>
        <v>33958346</v>
      </c>
    </row>
    <row r="10" spans="2:16">
      <c r="B10" s="338" t="s">
        <v>322</v>
      </c>
      <c r="C10" s="20">
        <f>+C30+C52</f>
        <v>16142512</v>
      </c>
      <c r="D10" s="20">
        <f>+D30+D52</f>
        <v>16388827</v>
      </c>
      <c r="E10" s="20">
        <f t="shared" si="0"/>
        <v>32531339</v>
      </c>
      <c r="F10" s="20"/>
      <c r="G10" s="20">
        <f>+G32+G54</f>
        <v>8354812</v>
      </c>
      <c r="H10" s="20">
        <f>+H32+H54</f>
        <v>362280</v>
      </c>
      <c r="I10" s="20">
        <f>+I32+I54</f>
        <v>8717092</v>
      </c>
      <c r="J10" s="20"/>
      <c r="K10" s="20">
        <f>+K32+K54</f>
        <v>50031892</v>
      </c>
    </row>
    <row r="11" spans="2:16">
      <c r="B11" s="338" t="s">
        <v>334</v>
      </c>
      <c r="C11" s="20"/>
      <c r="D11" s="20"/>
      <c r="E11" s="20">
        <f t="shared" si="0"/>
        <v>0</v>
      </c>
      <c r="F11" s="20"/>
      <c r="G11" s="20"/>
      <c r="H11" s="20"/>
      <c r="I11" s="20"/>
      <c r="J11" s="20"/>
      <c r="K11" s="20"/>
    </row>
    <row r="12" spans="2:16" s="40" customFormat="1">
      <c r="B12" s="306"/>
      <c r="C12" s="307">
        <f>SUM(C6:C11)</f>
        <v>29027355</v>
      </c>
      <c r="D12" s="307">
        <f>SUM(D6:D11)</f>
        <v>40162213</v>
      </c>
      <c r="E12" s="307">
        <f>SUM(E6:E11)</f>
        <v>69189568</v>
      </c>
      <c r="F12" s="307"/>
      <c r="G12" s="307">
        <f>SUM(G6:G11)</f>
        <v>12509864</v>
      </c>
      <c r="H12" s="307">
        <f>SUM(H6:H11)</f>
        <v>630070</v>
      </c>
      <c r="I12" s="307">
        <f>SUM(I6:I11)</f>
        <v>13139934</v>
      </c>
      <c r="J12" s="307"/>
      <c r="K12" s="307">
        <f>SUM(K6:K11)</f>
        <v>99407194</v>
      </c>
      <c r="L12" s="337"/>
      <c r="M12" s="337"/>
      <c r="N12" s="337"/>
      <c r="O12" s="337"/>
      <c r="P12" s="337"/>
    </row>
    <row r="13" spans="2:16" s="40" customFormat="1">
      <c r="B13" s="339"/>
      <c r="C13" s="9"/>
      <c r="D13" s="9"/>
      <c r="E13" s="9"/>
      <c r="F13" s="9"/>
      <c r="G13" s="9"/>
      <c r="H13" s="9"/>
      <c r="I13" s="9"/>
      <c r="J13" s="9"/>
      <c r="K13" s="9"/>
      <c r="L13" s="337"/>
      <c r="M13" s="337"/>
      <c r="N13" s="337"/>
      <c r="O13" s="337"/>
      <c r="P13" s="337"/>
    </row>
    <row r="14" spans="2:16" s="40" customFormat="1">
      <c r="B14" s="339"/>
      <c r="C14" s="9"/>
      <c r="D14" s="9"/>
      <c r="E14" s="9"/>
      <c r="F14" s="9"/>
      <c r="G14" s="9"/>
      <c r="H14" s="9"/>
      <c r="I14" s="9"/>
      <c r="J14" s="9"/>
      <c r="K14" s="9"/>
      <c r="L14" s="337"/>
      <c r="M14" s="337"/>
      <c r="N14" s="337"/>
      <c r="O14" s="337"/>
      <c r="P14" s="337"/>
    </row>
    <row r="15" spans="2:16" s="40" customFormat="1">
      <c r="B15" s="586" t="s">
        <v>333</v>
      </c>
      <c r="C15" s="586"/>
      <c r="D15" s="586"/>
      <c r="E15" s="586"/>
      <c r="F15" s="586"/>
      <c r="G15" s="586"/>
      <c r="H15" s="586"/>
      <c r="I15" s="586"/>
      <c r="J15" s="586"/>
      <c r="K15" s="586"/>
      <c r="L15" s="337"/>
      <c r="M15" s="459"/>
      <c r="N15" s="337"/>
      <c r="O15" s="337"/>
      <c r="P15" s="337"/>
    </row>
    <row r="16" spans="2:16" ht="19.5" customHeight="1">
      <c r="B16" s="293" t="s">
        <v>310</v>
      </c>
    </row>
    <row r="17" spans="2:16" s="288" customFormat="1" ht="25.5">
      <c r="B17" s="294"/>
      <c r="C17" s="294" t="s">
        <v>190</v>
      </c>
      <c r="D17" s="294" t="s">
        <v>311</v>
      </c>
      <c r="E17" s="295" t="s">
        <v>312</v>
      </c>
      <c r="F17" s="296" t="s">
        <v>313</v>
      </c>
      <c r="G17" s="297" t="s">
        <v>314</v>
      </c>
      <c r="H17" s="294" t="s">
        <v>315</v>
      </c>
      <c r="I17" s="298" t="s">
        <v>316</v>
      </c>
      <c r="J17" s="294" t="s">
        <v>317</v>
      </c>
      <c r="K17" s="294" t="s">
        <v>196</v>
      </c>
      <c r="L17" s="299"/>
      <c r="M17" s="299"/>
      <c r="N17" s="299"/>
      <c r="O17" s="299"/>
      <c r="P17" s="299"/>
    </row>
    <row r="18" spans="2:16">
      <c r="B18" s="300" t="s">
        <v>165</v>
      </c>
      <c r="C18" s="20"/>
      <c r="D18" s="157">
        <v>13754</v>
      </c>
      <c r="E18" s="301">
        <f>SUM(C18:D18)</f>
        <v>13754</v>
      </c>
      <c r="F18" s="302">
        <f>E18</f>
        <v>13754</v>
      </c>
      <c r="G18" s="303"/>
      <c r="H18" s="304"/>
      <c r="I18" s="305">
        <f>SUM(G18:H18)</f>
        <v>0</v>
      </c>
      <c r="J18" s="20">
        <f>I18</f>
        <v>0</v>
      </c>
      <c r="K18" s="157">
        <f t="shared" ref="K18:K32" si="1">SUM(C18:D18)+SUM(G18:H18)</f>
        <v>13754</v>
      </c>
    </row>
    <row r="19" spans="2:16">
      <c r="B19" s="300" t="s">
        <v>19</v>
      </c>
      <c r="C19" s="20"/>
      <c r="D19" s="157">
        <v>3713</v>
      </c>
      <c r="E19" s="301">
        <f t="shared" ref="E19:E32" si="2">SUM(C19:D19)</f>
        <v>3713</v>
      </c>
      <c r="F19" s="302">
        <f>E19</f>
        <v>3713</v>
      </c>
      <c r="G19" s="303"/>
      <c r="H19" s="304"/>
      <c r="I19" s="305">
        <f t="shared" ref="I19:I32" si="3">SUM(G19:H19)</f>
        <v>0</v>
      </c>
      <c r="J19" s="20">
        <f>I19</f>
        <v>0</v>
      </c>
      <c r="K19" s="157">
        <f t="shared" si="1"/>
        <v>3713</v>
      </c>
    </row>
    <row r="20" spans="2:16">
      <c r="B20" s="306" t="s">
        <v>318</v>
      </c>
      <c r="C20" s="307">
        <v>0</v>
      </c>
      <c r="D20" s="307">
        <f>SUM(D18:D19)</f>
        <v>17467</v>
      </c>
      <c r="E20" s="308">
        <f t="shared" si="2"/>
        <v>17467</v>
      </c>
      <c r="F20" s="309">
        <f>E20</f>
        <v>17467</v>
      </c>
      <c r="G20" s="310"/>
      <c r="H20" s="307"/>
      <c r="I20" s="311">
        <f t="shared" si="3"/>
        <v>0</v>
      </c>
      <c r="J20" s="307">
        <f>I20</f>
        <v>0</v>
      </c>
      <c r="K20" s="308">
        <f t="shared" si="1"/>
        <v>17467</v>
      </c>
    </row>
    <row r="21" spans="2:16">
      <c r="B21" s="300" t="s">
        <v>165</v>
      </c>
      <c r="C21" s="20"/>
      <c r="D21" s="157">
        <v>2518963</v>
      </c>
      <c r="E21" s="301">
        <f t="shared" si="2"/>
        <v>2518963</v>
      </c>
      <c r="F21" s="302">
        <f t="shared" ref="F21:F32" si="4">F18+E21</f>
        <v>2532717</v>
      </c>
      <c r="G21" s="312"/>
      <c r="H21" s="20"/>
      <c r="I21" s="305">
        <f t="shared" si="3"/>
        <v>0</v>
      </c>
      <c r="J21" s="20">
        <f t="shared" ref="J21:J32" si="5">J18+I21</f>
        <v>0</v>
      </c>
      <c r="K21" s="157">
        <f t="shared" si="1"/>
        <v>2518963</v>
      </c>
    </row>
    <row r="22" spans="2:16">
      <c r="B22" s="300" t="s">
        <v>19</v>
      </c>
      <c r="C22" s="20"/>
      <c r="D22" s="157">
        <v>680120</v>
      </c>
      <c r="E22" s="301">
        <f t="shared" si="2"/>
        <v>680120</v>
      </c>
      <c r="F22" s="302">
        <f t="shared" si="4"/>
        <v>683833</v>
      </c>
      <c r="G22" s="312"/>
      <c r="H22" s="20"/>
      <c r="I22" s="305">
        <f t="shared" si="3"/>
        <v>0</v>
      </c>
      <c r="J22" s="20">
        <f t="shared" si="5"/>
        <v>0</v>
      </c>
      <c r="K22" s="157">
        <f t="shared" si="1"/>
        <v>680120</v>
      </c>
    </row>
    <row r="23" spans="2:16">
      <c r="B23" s="306" t="s">
        <v>319</v>
      </c>
      <c r="C23" s="307">
        <v>0</v>
      </c>
      <c r="D23" s="307">
        <f>SUM(D21:D22)</f>
        <v>3199083</v>
      </c>
      <c r="E23" s="308">
        <f t="shared" si="2"/>
        <v>3199083</v>
      </c>
      <c r="F23" s="309">
        <f>F20+E23</f>
        <v>3216550</v>
      </c>
      <c r="G23" s="310"/>
      <c r="H23" s="307"/>
      <c r="I23" s="311">
        <f t="shared" si="3"/>
        <v>0</v>
      </c>
      <c r="J23" s="307">
        <f t="shared" si="5"/>
        <v>0</v>
      </c>
      <c r="K23" s="308">
        <f t="shared" si="1"/>
        <v>3199083</v>
      </c>
    </row>
    <row r="24" spans="2:16">
      <c r="B24" s="300" t="s">
        <v>165</v>
      </c>
      <c r="C24" s="157">
        <v>3942185</v>
      </c>
      <c r="D24" s="157">
        <v>4026017</v>
      </c>
      <c r="E24" s="301">
        <f t="shared" si="2"/>
        <v>7968202</v>
      </c>
      <c r="F24" s="302">
        <f t="shared" si="4"/>
        <v>10500919</v>
      </c>
      <c r="G24" s="312"/>
      <c r="H24" s="20"/>
      <c r="I24" s="305">
        <f t="shared" si="3"/>
        <v>0</v>
      </c>
      <c r="J24" s="20">
        <f t="shared" si="5"/>
        <v>0</v>
      </c>
      <c r="K24" s="157">
        <f t="shared" si="1"/>
        <v>7968202</v>
      </c>
    </row>
    <row r="25" spans="2:16">
      <c r="B25" s="300" t="s">
        <v>19</v>
      </c>
      <c r="C25" s="157">
        <v>1064390</v>
      </c>
      <c r="D25" s="157">
        <v>1087024</v>
      </c>
      <c r="E25" s="301">
        <f t="shared" si="2"/>
        <v>2151414</v>
      </c>
      <c r="F25" s="302">
        <f t="shared" si="4"/>
        <v>2835247</v>
      </c>
      <c r="G25" s="312"/>
      <c r="H25" s="20"/>
      <c r="I25" s="305">
        <f t="shared" si="3"/>
        <v>0</v>
      </c>
      <c r="J25" s="20">
        <f t="shared" si="5"/>
        <v>0</v>
      </c>
      <c r="K25" s="157">
        <f t="shared" si="1"/>
        <v>2151414</v>
      </c>
    </row>
    <row r="26" spans="2:16">
      <c r="B26" s="306" t="s">
        <v>320</v>
      </c>
      <c r="C26" s="307">
        <f>SUM(C23:C25)</f>
        <v>5006575</v>
      </c>
      <c r="D26" s="307">
        <f>SUM(D24:D25)</f>
        <v>5113041</v>
      </c>
      <c r="E26" s="308">
        <f t="shared" si="2"/>
        <v>10119616</v>
      </c>
      <c r="F26" s="309">
        <f t="shared" si="4"/>
        <v>13336166</v>
      </c>
      <c r="G26" s="310"/>
      <c r="H26" s="307"/>
      <c r="I26" s="311">
        <f t="shared" si="3"/>
        <v>0</v>
      </c>
      <c r="J26" s="307">
        <f t="shared" si="5"/>
        <v>0</v>
      </c>
      <c r="K26" s="308">
        <f t="shared" si="1"/>
        <v>10119616</v>
      </c>
    </row>
    <row r="27" spans="2:16">
      <c r="B27" s="300" t="s">
        <v>165</v>
      </c>
      <c r="C27" s="20">
        <v>7230508</v>
      </c>
      <c r="D27" s="20">
        <v>13525539</v>
      </c>
      <c r="E27" s="301">
        <f t="shared" si="2"/>
        <v>20756047</v>
      </c>
      <c r="F27" s="302">
        <f t="shared" si="4"/>
        <v>31256966</v>
      </c>
      <c r="G27" s="312">
        <v>3734632</v>
      </c>
      <c r="H27" s="20">
        <v>247040</v>
      </c>
      <c r="I27" s="305">
        <f>SUM(G27:H27)</f>
        <v>3981672</v>
      </c>
      <c r="J27" s="20">
        <f t="shared" si="5"/>
        <v>3981672</v>
      </c>
      <c r="K27" s="157">
        <f t="shared" si="1"/>
        <v>24737719</v>
      </c>
    </row>
    <row r="28" spans="2:16">
      <c r="B28" s="300" t="s">
        <v>19</v>
      </c>
      <c r="C28" s="20">
        <v>1952237</v>
      </c>
      <c r="D28" s="20">
        <v>3651896</v>
      </c>
      <c r="E28" s="301">
        <f t="shared" si="2"/>
        <v>5604133</v>
      </c>
      <c r="F28" s="302">
        <f t="shared" si="4"/>
        <v>8439380</v>
      </c>
      <c r="G28" s="312">
        <v>60310</v>
      </c>
      <c r="H28" s="20">
        <v>3655</v>
      </c>
      <c r="I28" s="305">
        <f t="shared" si="3"/>
        <v>63965</v>
      </c>
      <c r="J28" s="20">
        <f t="shared" si="5"/>
        <v>63965</v>
      </c>
      <c r="K28" s="157">
        <f t="shared" si="1"/>
        <v>5668098</v>
      </c>
    </row>
    <row r="29" spans="2:16">
      <c r="B29" s="306" t="s">
        <v>321</v>
      </c>
      <c r="C29" s="307">
        <f>SUM(C27:C28)</f>
        <v>9182745</v>
      </c>
      <c r="D29" s="307">
        <f>SUM(D27:D28)</f>
        <v>17177435</v>
      </c>
      <c r="E29" s="308">
        <f t="shared" si="2"/>
        <v>26360180</v>
      </c>
      <c r="F29" s="309">
        <f t="shared" si="4"/>
        <v>39696346</v>
      </c>
      <c r="G29" s="310">
        <f>SUM(G27:G28)</f>
        <v>3794942</v>
      </c>
      <c r="H29" s="307">
        <f>SUM(H27:H28)</f>
        <v>250695</v>
      </c>
      <c r="I29" s="313">
        <f t="shared" si="3"/>
        <v>4045637</v>
      </c>
      <c r="J29" s="307">
        <f t="shared" si="5"/>
        <v>4045637</v>
      </c>
      <c r="K29" s="308">
        <f t="shared" si="1"/>
        <v>30405817</v>
      </c>
    </row>
    <row r="30" spans="2:16">
      <c r="B30" s="300" t="s">
        <v>165</v>
      </c>
      <c r="C30" s="314">
        <v>14170323</v>
      </c>
      <c r="D30" s="314">
        <v>14616263</v>
      </c>
      <c r="E30" s="301">
        <f t="shared" si="2"/>
        <v>28786586</v>
      </c>
      <c r="F30" s="302">
        <f t="shared" si="4"/>
        <v>60043552</v>
      </c>
      <c r="G30" s="315">
        <v>7368216</v>
      </c>
      <c r="H30" s="314">
        <v>321442</v>
      </c>
      <c r="I30" s="305">
        <f t="shared" si="3"/>
        <v>7689658</v>
      </c>
      <c r="J30" s="20">
        <f t="shared" si="5"/>
        <v>11671330</v>
      </c>
      <c r="K30" s="157">
        <f t="shared" si="1"/>
        <v>36476244</v>
      </c>
    </row>
    <row r="31" spans="2:16">
      <c r="B31" s="300" t="s">
        <v>19</v>
      </c>
      <c r="C31" s="314">
        <v>3825987</v>
      </c>
      <c r="D31" s="314">
        <v>3946391</v>
      </c>
      <c r="E31" s="301">
        <f t="shared" si="2"/>
        <v>7772378</v>
      </c>
      <c r="F31" s="302">
        <f t="shared" si="4"/>
        <v>16211758</v>
      </c>
      <c r="G31" s="315">
        <v>113426</v>
      </c>
      <c r="H31" s="314">
        <v>5478</v>
      </c>
      <c r="I31" s="305">
        <f t="shared" si="3"/>
        <v>118904</v>
      </c>
      <c r="J31" s="20">
        <f t="shared" si="5"/>
        <v>182869</v>
      </c>
      <c r="K31" s="157">
        <f t="shared" si="1"/>
        <v>7891282</v>
      </c>
    </row>
    <row r="32" spans="2:16">
      <c r="B32" s="306" t="s">
        <v>322</v>
      </c>
      <c r="C32" s="307">
        <f>SUM(C30:C31)</f>
        <v>17996310</v>
      </c>
      <c r="D32" s="307">
        <f>SUM(D30:D31)</f>
        <v>18562654</v>
      </c>
      <c r="E32" s="308">
        <f t="shared" si="2"/>
        <v>36558964</v>
      </c>
      <c r="F32" s="309">
        <f t="shared" si="4"/>
        <v>76255310</v>
      </c>
      <c r="G32" s="310">
        <f>SUM(G30:G31)</f>
        <v>7481642</v>
      </c>
      <c r="H32" s="307">
        <f>SUM(H30:H31)</f>
        <v>326920</v>
      </c>
      <c r="I32" s="313">
        <f t="shared" si="3"/>
        <v>7808562</v>
      </c>
      <c r="J32" s="307">
        <f t="shared" si="5"/>
        <v>11854199</v>
      </c>
      <c r="K32" s="308">
        <f t="shared" si="1"/>
        <v>44367526</v>
      </c>
    </row>
    <row r="33" spans="2:16">
      <c r="B33" s="316">
        <v>42326</v>
      </c>
      <c r="C33" s="584" t="s">
        <v>323</v>
      </c>
      <c r="D33" s="585"/>
      <c r="E33" s="317"/>
      <c r="F33" s="318"/>
      <c r="G33" s="312">
        <v>400000</v>
      </c>
      <c r="H33" s="20">
        <v>-400000</v>
      </c>
      <c r="I33" s="319"/>
      <c r="J33" s="19"/>
      <c r="K33" s="320"/>
    </row>
    <row r="34" spans="2:16">
      <c r="B34" s="316">
        <v>42338</v>
      </c>
      <c r="C34" s="584" t="s">
        <v>323</v>
      </c>
      <c r="D34" s="585"/>
      <c r="E34" s="317"/>
      <c r="F34" s="318"/>
      <c r="G34" s="312">
        <v>139575</v>
      </c>
      <c r="H34" s="20">
        <v>-139575</v>
      </c>
      <c r="I34" s="319"/>
      <c r="J34" s="19"/>
      <c r="K34" s="320"/>
    </row>
    <row r="35" spans="2:16">
      <c r="B35" s="316" t="s">
        <v>324</v>
      </c>
      <c r="C35" s="584" t="s">
        <v>325</v>
      </c>
      <c r="D35" s="585"/>
      <c r="E35" s="317"/>
      <c r="F35" s="318"/>
      <c r="G35" s="312"/>
      <c r="H35" s="20">
        <v>-540</v>
      </c>
      <c r="I35" s="319"/>
      <c r="J35" s="19"/>
      <c r="K35" s="320"/>
    </row>
    <row r="36" spans="2:16">
      <c r="B36" s="321" t="s">
        <v>326</v>
      </c>
      <c r="C36" s="320"/>
      <c r="D36" s="320"/>
      <c r="E36" s="317"/>
      <c r="F36" s="318"/>
      <c r="G36" s="312"/>
      <c r="H36" s="322">
        <f>H29+H32+H33+H34+H35</f>
        <v>37500</v>
      </c>
      <c r="I36" s="323"/>
      <c r="J36" s="19"/>
      <c r="K36" s="320"/>
    </row>
    <row r="37" spans="2:16">
      <c r="K37" s="283"/>
    </row>
    <row r="38" spans="2:16" s="87" customFormat="1" ht="27.75" customHeight="1">
      <c r="B38" s="293" t="s">
        <v>327</v>
      </c>
      <c r="C38" s="324"/>
      <c r="D38" s="324"/>
      <c r="E38" s="324"/>
      <c r="F38" s="324"/>
      <c r="G38" s="324"/>
      <c r="H38" s="324"/>
      <c r="I38" s="325"/>
      <c r="J38" s="324"/>
      <c r="K38" s="324"/>
      <c r="L38" s="324"/>
      <c r="M38" s="324"/>
      <c r="N38" s="324"/>
      <c r="O38" s="324"/>
      <c r="P38" s="324"/>
    </row>
    <row r="39" spans="2:16" ht="25.5">
      <c r="B39" s="19"/>
      <c r="C39" s="294" t="s">
        <v>190</v>
      </c>
      <c r="D39" s="294" t="s">
        <v>311</v>
      </c>
      <c r="E39" s="295" t="s">
        <v>312</v>
      </c>
      <c r="F39" s="296" t="s">
        <v>313</v>
      </c>
      <c r="G39" s="297" t="s">
        <v>314</v>
      </c>
      <c r="H39" s="294" t="s">
        <v>315</v>
      </c>
      <c r="I39" s="298" t="s">
        <v>316</v>
      </c>
      <c r="J39" s="294" t="s">
        <v>317</v>
      </c>
      <c r="K39" s="294" t="s">
        <v>196</v>
      </c>
    </row>
    <row r="40" spans="2:16">
      <c r="B40" s="300" t="s">
        <v>165</v>
      </c>
      <c r="C40" s="294"/>
      <c r="D40" s="326">
        <v>2121</v>
      </c>
      <c r="E40" s="301">
        <f>SUM(C40:D40)</f>
        <v>2121</v>
      </c>
      <c r="F40" s="302">
        <f>E40</f>
        <v>2121</v>
      </c>
      <c r="G40" s="297"/>
      <c r="H40" s="294"/>
      <c r="I40" s="301">
        <f>SUM(G40:H40)</f>
        <v>0</v>
      </c>
      <c r="J40" s="20">
        <f>I40</f>
        <v>0</v>
      </c>
      <c r="K40" s="157">
        <f t="shared" ref="K40:K54" si="6">SUM(C40:D40)+SUM(G40:H40)</f>
        <v>2121</v>
      </c>
    </row>
    <row r="41" spans="2:16">
      <c r="B41" s="300" t="s">
        <v>19</v>
      </c>
      <c r="C41" s="294"/>
      <c r="D41" s="326">
        <v>573</v>
      </c>
      <c r="E41" s="301">
        <f t="shared" ref="E41:E53" si="7">SUM(C41:D41)</f>
        <v>573</v>
      </c>
      <c r="F41" s="302">
        <f>E41</f>
        <v>573</v>
      </c>
      <c r="G41" s="297"/>
      <c r="H41" s="294"/>
      <c r="I41" s="301">
        <f t="shared" ref="I41:I53" si="8">SUM(G41:H41)</f>
        <v>0</v>
      </c>
      <c r="J41" s="20">
        <f>I41</f>
        <v>0</v>
      </c>
      <c r="K41" s="157">
        <f t="shared" si="6"/>
        <v>573</v>
      </c>
    </row>
    <row r="42" spans="2:16">
      <c r="B42" s="306" t="s">
        <v>318</v>
      </c>
      <c r="C42" s="307">
        <v>0</v>
      </c>
      <c r="D42" s="327">
        <f>SUM(D40:D41)</f>
        <v>2694</v>
      </c>
      <c r="E42" s="308">
        <f t="shared" si="7"/>
        <v>2694</v>
      </c>
      <c r="F42" s="309">
        <f>E42</f>
        <v>2694</v>
      </c>
      <c r="G42" s="310"/>
      <c r="H42" s="307"/>
      <c r="I42" s="308">
        <f t="shared" si="8"/>
        <v>0</v>
      </c>
      <c r="J42" s="307">
        <f>I42</f>
        <v>0</v>
      </c>
      <c r="K42" s="308">
        <f t="shared" si="6"/>
        <v>2694</v>
      </c>
    </row>
    <row r="43" spans="2:16">
      <c r="B43" s="300" t="s">
        <v>165</v>
      </c>
      <c r="C43" s="20"/>
      <c r="D43" s="314">
        <v>398632</v>
      </c>
      <c r="E43" s="301">
        <f t="shared" si="7"/>
        <v>398632</v>
      </c>
      <c r="F43" s="302">
        <f t="shared" ref="F43:F54" si="9">F40+E43</f>
        <v>400753</v>
      </c>
      <c r="G43" s="312"/>
      <c r="H43" s="20"/>
      <c r="I43" s="301">
        <f t="shared" si="8"/>
        <v>0</v>
      </c>
      <c r="J43" s="20">
        <f t="shared" ref="J43:J54" si="10">J40+I43</f>
        <v>0</v>
      </c>
      <c r="K43" s="157">
        <f t="shared" si="6"/>
        <v>398632</v>
      </c>
    </row>
    <row r="44" spans="2:16">
      <c r="B44" s="300" t="s">
        <v>19</v>
      </c>
      <c r="C44" s="20"/>
      <c r="D44" s="314">
        <v>107631</v>
      </c>
      <c r="E44" s="301">
        <f t="shared" si="7"/>
        <v>107631</v>
      </c>
      <c r="F44" s="302">
        <f t="shared" si="9"/>
        <v>108204</v>
      </c>
      <c r="G44" s="312"/>
      <c r="H44" s="20"/>
      <c r="I44" s="301">
        <f t="shared" si="8"/>
        <v>0</v>
      </c>
      <c r="J44" s="20">
        <f t="shared" si="10"/>
        <v>0</v>
      </c>
      <c r="K44" s="157">
        <f t="shared" si="6"/>
        <v>107631</v>
      </c>
    </row>
    <row r="45" spans="2:16">
      <c r="B45" s="306" t="s">
        <v>319</v>
      </c>
      <c r="C45" s="307">
        <v>0</v>
      </c>
      <c r="D45" s="327">
        <f>SUM(D43:D44)</f>
        <v>506263</v>
      </c>
      <c r="E45" s="308">
        <f t="shared" si="7"/>
        <v>506263</v>
      </c>
      <c r="F45" s="309">
        <f t="shared" si="9"/>
        <v>508957</v>
      </c>
      <c r="G45" s="310"/>
      <c r="H45" s="307"/>
      <c r="I45" s="308">
        <f t="shared" si="8"/>
        <v>0</v>
      </c>
      <c r="J45" s="307">
        <f t="shared" si="10"/>
        <v>0</v>
      </c>
      <c r="K45" s="308">
        <f t="shared" si="6"/>
        <v>506263</v>
      </c>
    </row>
    <row r="46" spans="2:16">
      <c r="B46" s="300" t="s">
        <v>165</v>
      </c>
      <c r="C46" s="20">
        <v>608335</v>
      </c>
      <c r="D46" s="314">
        <v>629329</v>
      </c>
      <c r="E46" s="301">
        <f t="shared" si="7"/>
        <v>1237664</v>
      </c>
      <c r="F46" s="302">
        <f t="shared" si="9"/>
        <v>1638417</v>
      </c>
      <c r="G46" s="312"/>
      <c r="H46" s="20"/>
      <c r="I46" s="301">
        <f t="shared" si="8"/>
        <v>0</v>
      </c>
      <c r="J46" s="20">
        <f t="shared" si="10"/>
        <v>0</v>
      </c>
      <c r="K46" s="157">
        <f t="shared" si="6"/>
        <v>1237664</v>
      </c>
    </row>
    <row r="47" spans="2:16">
      <c r="B47" s="300" t="s">
        <v>19</v>
      </c>
      <c r="C47" s="20">
        <v>164250</v>
      </c>
      <c r="D47" s="314">
        <v>169919</v>
      </c>
      <c r="E47" s="301">
        <f t="shared" si="7"/>
        <v>334169</v>
      </c>
      <c r="F47" s="302">
        <f t="shared" si="9"/>
        <v>442373</v>
      </c>
      <c r="G47" s="312"/>
      <c r="H47" s="20"/>
      <c r="I47" s="301">
        <f t="shared" si="8"/>
        <v>0</v>
      </c>
      <c r="J47" s="20">
        <f t="shared" si="10"/>
        <v>0</v>
      </c>
      <c r="K47" s="157">
        <f t="shared" si="6"/>
        <v>334169</v>
      </c>
    </row>
    <row r="48" spans="2:16">
      <c r="B48" s="306" t="s">
        <v>320</v>
      </c>
      <c r="C48" s="307">
        <f>SUM(C46:C47)</f>
        <v>772585</v>
      </c>
      <c r="D48" s="327">
        <f>SUM(D46:D47)</f>
        <v>799248</v>
      </c>
      <c r="E48" s="308">
        <f t="shared" si="7"/>
        <v>1571833</v>
      </c>
      <c r="F48" s="309">
        <f t="shared" si="9"/>
        <v>2080790</v>
      </c>
      <c r="G48" s="310"/>
      <c r="H48" s="307"/>
      <c r="I48" s="308">
        <f t="shared" si="8"/>
        <v>0</v>
      </c>
      <c r="J48" s="307">
        <f t="shared" si="10"/>
        <v>0</v>
      </c>
      <c r="K48" s="308">
        <f t="shared" si="6"/>
        <v>1571833</v>
      </c>
    </row>
    <row r="49" spans="2:16">
      <c r="B49" s="300" t="s">
        <v>165</v>
      </c>
      <c r="C49" s="20">
        <v>856075</v>
      </c>
      <c r="D49" s="314">
        <v>1644180</v>
      </c>
      <c r="E49" s="301">
        <f t="shared" si="7"/>
        <v>2500255</v>
      </c>
      <c r="F49" s="302">
        <f t="shared" si="9"/>
        <v>4138672</v>
      </c>
      <c r="G49" s="312">
        <v>354411</v>
      </c>
      <c r="H49" s="20">
        <v>16815</v>
      </c>
      <c r="I49" s="301">
        <f t="shared" si="8"/>
        <v>371226</v>
      </c>
      <c r="J49" s="20">
        <f t="shared" si="10"/>
        <v>371226</v>
      </c>
      <c r="K49" s="157">
        <f>SUM(C49:D49)+SUM(G49:H49)</f>
        <v>2871481</v>
      </c>
    </row>
    <row r="50" spans="2:16">
      <c r="B50" s="300" t="s">
        <v>19</v>
      </c>
      <c r="C50" s="20">
        <v>231140</v>
      </c>
      <c r="D50" s="314">
        <v>443929</v>
      </c>
      <c r="E50" s="301">
        <f t="shared" si="7"/>
        <v>675069</v>
      </c>
      <c r="F50" s="302">
        <f t="shared" si="9"/>
        <v>1117442</v>
      </c>
      <c r="G50" s="312">
        <v>5699</v>
      </c>
      <c r="H50" s="20">
        <v>280</v>
      </c>
      <c r="I50" s="301">
        <f t="shared" si="8"/>
        <v>5979</v>
      </c>
      <c r="J50" s="20">
        <f t="shared" si="10"/>
        <v>5979</v>
      </c>
      <c r="K50" s="157">
        <f t="shared" si="6"/>
        <v>681048</v>
      </c>
    </row>
    <row r="51" spans="2:16">
      <c r="B51" s="306" t="s">
        <v>321</v>
      </c>
      <c r="C51" s="327">
        <f>SUM(C49:C50)</f>
        <v>1087215</v>
      </c>
      <c r="D51" s="327">
        <f>SUM(D49:D50)</f>
        <v>2088109</v>
      </c>
      <c r="E51" s="308">
        <f t="shared" si="7"/>
        <v>3175324</v>
      </c>
      <c r="F51" s="309">
        <f t="shared" si="9"/>
        <v>5256114</v>
      </c>
      <c r="G51" s="328">
        <f>SUM(G49:G50)</f>
        <v>360110</v>
      </c>
      <c r="H51" s="327">
        <f>SUM(H49:H50)</f>
        <v>17095</v>
      </c>
      <c r="I51" s="308">
        <f t="shared" si="8"/>
        <v>377205</v>
      </c>
      <c r="J51" s="307">
        <f t="shared" si="10"/>
        <v>377205</v>
      </c>
      <c r="K51" s="308">
        <f t="shared" si="6"/>
        <v>3552529</v>
      </c>
    </row>
    <row r="52" spans="2:16">
      <c r="B52" s="300" t="s">
        <v>165</v>
      </c>
      <c r="C52" s="314">
        <v>1972189</v>
      </c>
      <c r="D52" s="314">
        <v>1772564</v>
      </c>
      <c r="E52" s="301">
        <f t="shared" si="7"/>
        <v>3744753</v>
      </c>
      <c r="F52" s="302">
        <f t="shared" si="9"/>
        <v>7883425</v>
      </c>
      <c r="G52" s="315">
        <v>859538</v>
      </c>
      <c r="H52" s="314">
        <v>34783</v>
      </c>
      <c r="I52" s="301">
        <f t="shared" si="8"/>
        <v>894321</v>
      </c>
      <c r="J52" s="20">
        <f t="shared" si="10"/>
        <v>1265547</v>
      </c>
      <c r="K52" s="157">
        <f t="shared" si="6"/>
        <v>4639074</v>
      </c>
    </row>
    <row r="53" spans="2:16">
      <c r="B53" s="300" t="s">
        <v>19</v>
      </c>
      <c r="C53" s="314">
        <v>532491</v>
      </c>
      <c r="D53" s="314">
        <v>478592</v>
      </c>
      <c r="E53" s="301">
        <f t="shared" si="7"/>
        <v>1011083</v>
      </c>
      <c r="F53" s="302">
        <f t="shared" si="9"/>
        <v>2128525</v>
      </c>
      <c r="G53" s="315">
        <v>13632</v>
      </c>
      <c r="H53" s="314">
        <v>577</v>
      </c>
      <c r="I53" s="301">
        <f t="shared" si="8"/>
        <v>14209</v>
      </c>
      <c r="J53" s="20">
        <f t="shared" si="10"/>
        <v>20188</v>
      </c>
      <c r="K53" s="157">
        <f t="shared" si="6"/>
        <v>1025292</v>
      </c>
    </row>
    <row r="54" spans="2:16">
      <c r="B54" s="306" t="s">
        <v>322</v>
      </c>
      <c r="C54" s="327">
        <f>SUM(C52:C53)</f>
        <v>2504680</v>
      </c>
      <c r="D54" s="327">
        <f>SUM(D52:D53)</f>
        <v>2251156</v>
      </c>
      <c r="E54" s="308">
        <f>SUM(C54:D54)</f>
        <v>4755836</v>
      </c>
      <c r="F54" s="309">
        <f t="shared" si="9"/>
        <v>10011950</v>
      </c>
      <c r="G54" s="328">
        <f>SUM(G52:G53)</f>
        <v>873170</v>
      </c>
      <c r="H54" s="327">
        <f>SUM(H52:H53)</f>
        <v>35360</v>
      </c>
      <c r="I54" s="308">
        <f>SUM(G54:H54)</f>
        <v>908530</v>
      </c>
      <c r="J54" s="307">
        <f t="shared" si="10"/>
        <v>1285735</v>
      </c>
      <c r="K54" s="308">
        <f t="shared" si="6"/>
        <v>5664366</v>
      </c>
    </row>
    <row r="55" spans="2:16">
      <c r="B55" s="316">
        <v>42338</v>
      </c>
      <c r="C55" s="584" t="s">
        <v>323</v>
      </c>
      <c r="D55" s="585"/>
      <c r="E55" s="19"/>
      <c r="F55" s="318"/>
      <c r="G55" s="312">
        <v>32355</v>
      </c>
      <c r="H55" s="20">
        <v>-32355</v>
      </c>
      <c r="I55" s="314"/>
      <c r="J55" s="19"/>
      <c r="K55" s="19"/>
    </row>
    <row r="56" spans="2:16">
      <c r="B56" s="72" t="s">
        <v>324</v>
      </c>
      <c r="C56" s="584" t="s">
        <v>325</v>
      </c>
      <c r="D56" s="585"/>
      <c r="E56" s="19"/>
      <c r="F56" s="318"/>
      <c r="G56" s="312"/>
      <c r="H56" s="20">
        <v>-100</v>
      </c>
      <c r="I56" s="314"/>
      <c r="J56" s="19"/>
      <c r="K56" s="19"/>
    </row>
    <row r="57" spans="2:16">
      <c r="B57" s="321" t="s">
        <v>326</v>
      </c>
      <c r="C57" s="19"/>
      <c r="D57" s="19"/>
      <c r="E57" s="19"/>
      <c r="F57" s="318"/>
      <c r="G57" s="329"/>
      <c r="H57" s="322">
        <f>H51+H54+H55+H56</f>
        <v>20000</v>
      </c>
      <c r="I57" s="19"/>
      <c r="J57" s="19"/>
      <c r="K57" s="19"/>
    </row>
    <row r="58" spans="2:16" ht="15.75" thickBot="1"/>
    <row r="59" spans="2:16" ht="15.75" thickBot="1">
      <c r="B59" s="330"/>
      <c r="C59" s="330" t="s">
        <v>190</v>
      </c>
      <c r="D59" s="330" t="s">
        <v>311</v>
      </c>
      <c r="E59" s="591" t="s">
        <v>312</v>
      </c>
      <c r="F59" s="592"/>
      <c r="G59" s="331" t="s">
        <v>314</v>
      </c>
      <c r="H59" s="330" t="s">
        <v>315</v>
      </c>
      <c r="I59" s="591" t="s">
        <v>316</v>
      </c>
      <c r="J59" s="593"/>
    </row>
    <row r="60" spans="2:16" s="289" customFormat="1" ht="26.25" thickBot="1">
      <c r="B60" s="330" t="s">
        <v>328</v>
      </c>
      <c r="C60" s="332">
        <f>C20+C23+C26+C29+C32+C42+C45+C48+C51+C54</f>
        <v>36550110</v>
      </c>
      <c r="D60" s="332">
        <f>D20+D23+D26+D29+D32+D42+D45+D48+D51+D54</f>
        <v>49717150</v>
      </c>
      <c r="E60" s="594">
        <f>E20+E23+E26+E29+E32+E42+E45+E48+E51+E54</f>
        <v>86267260</v>
      </c>
      <c r="F60" s="595"/>
      <c r="G60" s="333">
        <f>G20+G23+G26+G29+G32+G42+G45+G48+G51+G54</f>
        <v>12509864</v>
      </c>
      <c r="H60" s="332">
        <f>H20+H23+H26+H29+H32+H42+H45+H48+H51+H54</f>
        <v>630070</v>
      </c>
      <c r="I60" s="594">
        <f>I20+I23+I26+I29+I32+I42+I45+I48+I51+I54</f>
        <v>13139934</v>
      </c>
      <c r="J60" s="596"/>
      <c r="K60" s="334"/>
      <c r="L60" s="334"/>
      <c r="M60" s="334"/>
      <c r="N60" s="334"/>
      <c r="O60" s="334"/>
      <c r="P60" s="334"/>
    </row>
  </sheetData>
  <mergeCells count="12">
    <mergeCell ref="C56:D56"/>
    <mergeCell ref="E59:F59"/>
    <mergeCell ref="I59:J59"/>
    <mergeCell ref="E60:F60"/>
    <mergeCell ref="I60:J60"/>
    <mergeCell ref="C35:D35"/>
    <mergeCell ref="C55:D55"/>
    <mergeCell ref="B15:K15"/>
    <mergeCell ref="B1:C1"/>
    <mergeCell ref="B3:K3"/>
    <mergeCell ref="C33:D33"/>
    <mergeCell ref="C34:D34"/>
  </mergeCells>
  <printOptions horizontalCentered="1"/>
  <pageMargins left="0.11811023622047245" right="0.11811023622047245" top="0.15748031496062992" bottom="0.15748031496062992" header="0.31496062992125984" footer="0.31496062992125984"/>
  <pageSetup paperSize="256" scale="7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T60"/>
  <sheetViews>
    <sheetView zoomScale="85" zoomScaleNormal="85" workbookViewId="0">
      <pane xSplit="4" ySplit="4" topLeftCell="E11" activePane="bottomRight" state="frozen"/>
      <selection pane="topRight" activeCell="G1" sqref="G1"/>
      <selection pane="bottomLeft" activeCell="A5" sqref="A5"/>
      <selection pane="bottomRight" activeCell="S7" sqref="S7"/>
    </sheetView>
  </sheetViews>
  <sheetFormatPr defaultRowHeight="18"/>
  <cols>
    <col min="1" max="1" width="0.85546875" customWidth="1"/>
    <col min="2" max="2" width="5.28515625" customWidth="1"/>
    <col min="3" max="3" width="61.42578125" style="66" bestFit="1" customWidth="1"/>
    <col min="4" max="4" width="22.42578125" style="86" customWidth="1"/>
    <col min="5" max="10" width="13.42578125" style="66" customWidth="1"/>
    <col min="11" max="11" width="15" style="66" customWidth="1"/>
    <col min="12" max="16" width="13.42578125" style="66" customWidth="1"/>
    <col min="17" max="17" width="17" style="67" bestFit="1" customWidth="1"/>
    <col min="18" max="18" width="13.28515625" style="66" bestFit="1" customWidth="1"/>
    <col min="19" max="19" width="13.7109375" style="66" customWidth="1"/>
    <col min="20" max="20" width="23.85546875" bestFit="1" customWidth="1"/>
    <col min="21" max="21" width="9.85546875" bestFit="1" customWidth="1"/>
    <col min="22" max="22" width="19.42578125" bestFit="1" customWidth="1"/>
    <col min="23" max="23" width="10.28515625" bestFit="1" customWidth="1"/>
  </cols>
  <sheetData>
    <row r="2" spans="2:20" ht="15" customHeight="1">
      <c r="C2" s="555" t="s">
        <v>0</v>
      </c>
      <c r="D2" s="555"/>
      <c r="E2" s="555"/>
      <c r="F2" s="555"/>
      <c r="G2" s="555"/>
      <c r="H2" s="555"/>
      <c r="I2" s="555"/>
      <c r="J2" s="555"/>
      <c r="K2" s="555"/>
      <c r="L2" s="555"/>
      <c r="M2" s="555"/>
      <c r="N2" s="555"/>
      <c r="O2" s="555"/>
      <c r="P2" s="555"/>
      <c r="Q2" s="555"/>
      <c r="R2" s="555"/>
      <c r="S2" s="555"/>
    </row>
    <row r="3" spans="2:20" ht="15" customHeight="1">
      <c r="C3" s="556"/>
      <c r="D3" s="556"/>
      <c r="E3" s="556"/>
      <c r="F3" s="556"/>
      <c r="G3" s="556"/>
      <c r="H3" s="556"/>
      <c r="I3" s="556"/>
      <c r="J3" s="556"/>
      <c r="K3" s="556"/>
      <c r="L3" s="556"/>
      <c r="M3" s="556"/>
      <c r="N3" s="556"/>
      <c r="O3" s="556"/>
      <c r="P3" s="556"/>
      <c r="Q3" s="556"/>
      <c r="R3" s="556"/>
      <c r="S3" s="556"/>
    </row>
    <row r="4" spans="2:20" s="1" customFormat="1" ht="15">
      <c r="B4" s="1" t="s">
        <v>1</v>
      </c>
      <c r="C4" s="2" t="s">
        <v>2</v>
      </c>
      <c r="D4" s="69" t="s">
        <v>358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  <c r="O4" s="4" t="s">
        <v>16</v>
      </c>
      <c r="P4" s="4" t="s">
        <v>17</v>
      </c>
      <c r="Q4" s="5" t="s">
        <v>18</v>
      </c>
      <c r="R4" s="5" t="s">
        <v>19</v>
      </c>
      <c r="S4" s="5" t="s">
        <v>20</v>
      </c>
    </row>
    <row r="5" spans="2:20" s="1" customFormat="1" ht="15">
      <c r="B5"/>
      <c r="C5" s="6"/>
      <c r="D5" s="70"/>
      <c r="E5" s="8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</row>
    <row r="6" spans="2:20" s="17" customFormat="1" ht="15">
      <c r="B6" s="10">
        <v>1</v>
      </c>
      <c r="C6" s="11" t="s">
        <v>98</v>
      </c>
      <c r="D6" s="71"/>
      <c r="E6" s="14">
        <f t="shared" ref="E6:S6" si="0">SUM(E7:E15)</f>
        <v>2195774</v>
      </c>
      <c r="F6" s="14">
        <f t="shared" si="0"/>
        <v>2034476</v>
      </c>
      <c r="G6" s="14">
        <f t="shared" si="0"/>
        <v>3875474</v>
      </c>
      <c r="H6" s="14">
        <f t="shared" si="0"/>
        <v>2908936</v>
      </c>
      <c r="I6" s="14">
        <f t="shared" si="0"/>
        <v>2845881</v>
      </c>
      <c r="J6" s="14">
        <f t="shared" si="0"/>
        <v>4166606</v>
      </c>
      <c r="K6" s="14">
        <f t="shared" si="0"/>
        <v>5554670</v>
      </c>
      <c r="L6" s="14">
        <f t="shared" si="0"/>
        <v>11674207</v>
      </c>
      <c r="M6" s="14">
        <f t="shared" si="0"/>
        <v>10414794</v>
      </c>
      <c r="N6" s="14">
        <f t="shared" si="0"/>
        <v>12696653</v>
      </c>
      <c r="O6" s="14">
        <f t="shared" si="0"/>
        <v>0</v>
      </c>
      <c r="P6" s="14">
        <f t="shared" si="0"/>
        <v>0</v>
      </c>
      <c r="Q6" s="14">
        <f t="shared" si="0"/>
        <v>58367471</v>
      </c>
      <c r="R6" s="14">
        <f t="shared" si="0"/>
        <v>663314.4</v>
      </c>
      <c r="S6" s="15">
        <f t="shared" si="0"/>
        <v>58140785.400000006</v>
      </c>
      <c r="T6" s="16"/>
    </row>
    <row r="7" spans="2:20" ht="15">
      <c r="B7" s="18" t="s">
        <v>22</v>
      </c>
      <c r="C7" s="19" t="s">
        <v>23</v>
      </c>
      <c r="D7" s="72" t="s">
        <v>109</v>
      </c>
      <c r="E7" s="21">
        <v>1620000</v>
      </c>
      <c r="F7" s="21">
        <f>85750+1497500</f>
        <v>1583250</v>
      </c>
      <c r="G7" s="21">
        <v>1838182</v>
      </c>
      <c r="H7" s="21">
        <v>2220000</v>
      </c>
      <c r="I7" s="21">
        <v>2220000</v>
      </c>
      <c r="J7" s="21">
        <v>3210908</v>
      </c>
      <c r="K7" s="21">
        <f>4565+4393484+17800</f>
        <v>4415849</v>
      </c>
      <c r="L7" s="21">
        <f>20000+6781234+4020</f>
        <v>6805254</v>
      </c>
      <c r="M7" s="21">
        <f>6807245+680725+213180</f>
        <v>7701150</v>
      </c>
      <c r="N7" s="21">
        <f>10508709+168635+12212</f>
        <v>10689556</v>
      </c>
      <c r="O7" s="21"/>
      <c r="P7" s="21" t="s">
        <v>268</v>
      </c>
      <c r="Q7" s="21">
        <f>SUM(E7:P7)</f>
        <v>42304149</v>
      </c>
      <c r="R7" s="22">
        <v>0</v>
      </c>
      <c r="S7" s="21">
        <f>SUM(Q7:R7)</f>
        <v>42304149</v>
      </c>
    </row>
    <row r="8" spans="2:20" s="17" customFormat="1" ht="15">
      <c r="B8" s="18" t="s">
        <v>24</v>
      </c>
      <c r="C8" s="19" t="s">
        <v>110</v>
      </c>
      <c r="D8" s="72" t="s">
        <v>111</v>
      </c>
      <c r="E8" s="23"/>
      <c r="F8" s="23"/>
      <c r="G8" s="23">
        <v>1031688</v>
      </c>
      <c r="H8" s="23">
        <v>50000</v>
      </c>
      <c r="I8" s="23"/>
      <c r="J8" s="23">
        <v>50000</v>
      </c>
      <c r="K8" s="23">
        <v>91570</v>
      </c>
      <c r="L8" s="23">
        <f>65755+262500+901688</f>
        <v>1229943</v>
      </c>
      <c r="M8" s="23">
        <f>76512+231000</f>
        <v>307512</v>
      </c>
      <c r="N8" s="23">
        <f>194485+357000+10500</f>
        <v>561985</v>
      </c>
      <c r="O8" s="23"/>
      <c r="P8" s="23"/>
      <c r="Q8" s="21">
        <f t="shared" ref="Q8:Q15" si="1">SUM(E8:P8)</f>
        <v>3322698</v>
      </c>
      <c r="R8" s="22">
        <v>0</v>
      </c>
      <c r="S8" s="21">
        <f t="shared" ref="S8:S15" si="2">SUM(Q8:R8)</f>
        <v>3322698</v>
      </c>
    </row>
    <row r="9" spans="2:20" s="17" customFormat="1" ht="15">
      <c r="B9" s="18" t="s">
        <v>25</v>
      </c>
      <c r="C9" s="19" t="s">
        <v>26</v>
      </c>
      <c r="D9" s="72" t="s">
        <v>112</v>
      </c>
      <c r="E9" s="23">
        <f>1025+491+1730+828+24300+437400</f>
        <v>465774</v>
      </c>
      <c r="F9" s="23">
        <f>23748+427478</f>
        <v>451226</v>
      </c>
      <c r="G9" s="23">
        <f>196432+4008+982+171880+6764+1657+27572+496309</f>
        <v>905604</v>
      </c>
      <c r="H9" s="23">
        <f>1339+982+2259+1657+33299+599400</f>
        <v>638936</v>
      </c>
      <c r="I9" s="23">
        <f>1876+982+3166+1657+33300+584900</f>
        <v>625881</v>
      </c>
      <c r="J9" s="23">
        <f>912+982+1538+1657+48164+852445</f>
        <v>905698</v>
      </c>
      <c r="K9" s="23">
        <f>2826+1472+4768+2485+65708+927389</f>
        <v>1004648</v>
      </c>
      <c r="L9" s="23">
        <f>5993+1472+262500+10114+2485+98407+1428491</f>
        <v>1809462</v>
      </c>
      <c r="M9" s="23">
        <f>231000+101838+1430730</f>
        <v>1763568</v>
      </c>
      <c r="N9" s="68">
        <f>8987+15165+158287+237822</f>
        <v>420261</v>
      </c>
      <c r="O9" s="23"/>
      <c r="P9" s="23"/>
      <c r="Q9" s="21">
        <f t="shared" si="1"/>
        <v>8991058</v>
      </c>
      <c r="R9" s="22"/>
      <c r="S9" s="21">
        <f t="shared" si="2"/>
        <v>8991058</v>
      </c>
    </row>
    <row r="10" spans="2:20" ht="15">
      <c r="B10" s="18" t="s">
        <v>27</v>
      </c>
      <c r="C10" s="19" t="s">
        <v>28</v>
      </c>
      <c r="D10" s="72"/>
      <c r="E10" s="20"/>
      <c r="F10" s="20"/>
      <c r="G10" s="20"/>
      <c r="H10" s="20"/>
      <c r="I10" s="20"/>
      <c r="J10" s="20"/>
      <c r="K10" s="20"/>
      <c r="L10" s="20">
        <v>205000</v>
      </c>
      <c r="M10" s="20">
        <v>104000</v>
      </c>
      <c r="N10" s="20"/>
      <c r="O10" s="20"/>
      <c r="P10" s="20"/>
      <c r="Q10" s="21">
        <f t="shared" si="1"/>
        <v>309000</v>
      </c>
      <c r="R10" s="22">
        <v>0</v>
      </c>
      <c r="S10" s="21">
        <f t="shared" si="2"/>
        <v>309000</v>
      </c>
    </row>
    <row r="11" spans="2:20" ht="15">
      <c r="B11" s="18" t="s">
        <v>29</v>
      </c>
      <c r="C11" s="19" t="s">
        <v>30</v>
      </c>
      <c r="D11" s="72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1">
        <f t="shared" si="1"/>
        <v>0</v>
      </c>
      <c r="R11" s="22">
        <v>0</v>
      </c>
      <c r="S11" s="21">
        <f t="shared" si="2"/>
        <v>0</v>
      </c>
    </row>
    <row r="12" spans="2:20" ht="15">
      <c r="B12" s="18" t="s">
        <v>31</v>
      </c>
      <c r="C12" s="19" t="s">
        <v>85</v>
      </c>
      <c r="D12" s="72">
        <v>5253</v>
      </c>
      <c r="E12" s="20">
        <v>110000</v>
      </c>
      <c r="F12" s="20"/>
      <c r="G12" s="20">
        <v>100000</v>
      </c>
      <c r="H12" s="20"/>
      <c r="I12" s="20"/>
      <c r="J12" s="20"/>
      <c r="K12" s="20"/>
      <c r="L12" s="20">
        <v>442000</v>
      </c>
      <c r="M12" s="20">
        <v>238000</v>
      </c>
      <c r="N12" s="20"/>
      <c r="O12" s="20"/>
      <c r="P12" s="20"/>
      <c r="Q12" s="21">
        <f t="shared" si="1"/>
        <v>890000</v>
      </c>
      <c r="R12" s="22"/>
      <c r="S12" s="21"/>
    </row>
    <row r="13" spans="2:20" ht="15">
      <c r="B13" s="18" t="s">
        <v>33</v>
      </c>
      <c r="C13" s="19" t="s">
        <v>32</v>
      </c>
      <c r="D13" s="72">
        <v>533</v>
      </c>
      <c r="E13" s="20"/>
      <c r="F13" s="20"/>
      <c r="G13" s="20"/>
      <c r="H13" s="20"/>
      <c r="I13" s="20"/>
      <c r="J13" s="20"/>
      <c r="K13" s="20"/>
      <c r="L13" s="20"/>
      <c r="M13" s="20">
        <v>93846</v>
      </c>
      <c r="N13" s="20"/>
      <c r="O13" s="20"/>
      <c r="P13" s="20"/>
      <c r="Q13" s="21">
        <f t="shared" si="1"/>
        <v>93846</v>
      </c>
      <c r="R13" s="22">
        <v>0</v>
      </c>
      <c r="S13" s="21">
        <f t="shared" si="2"/>
        <v>93846</v>
      </c>
      <c r="T13" s="24"/>
    </row>
    <row r="14" spans="2:20" ht="15">
      <c r="B14" s="18" t="s">
        <v>35</v>
      </c>
      <c r="C14" s="19" t="s">
        <v>34</v>
      </c>
      <c r="D14" s="72" t="s">
        <v>199</v>
      </c>
      <c r="E14" s="22"/>
      <c r="F14" s="22"/>
      <c r="G14" s="22"/>
      <c r="H14" s="22"/>
      <c r="I14" s="22"/>
      <c r="J14" s="22"/>
      <c r="K14" s="22">
        <v>42603</v>
      </c>
      <c r="L14" s="22">
        <v>26236</v>
      </c>
      <c r="M14" s="22">
        <v>42603</v>
      </c>
      <c r="N14" s="22">
        <v>91500</v>
      </c>
      <c r="O14" s="22"/>
      <c r="P14" s="22"/>
      <c r="Q14" s="21">
        <f t="shared" si="1"/>
        <v>202942</v>
      </c>
      <c r="R14" s="22">
        <f>Q14*0.27</f>
        <v>54794.340000000004</v>
      </c>
      <c r="S14" s="21">
        <f t="shared" si="2"/>
        <v>257736.34</v>
      </c>
      <c r="T14" s="24"/>
    </row>
    <row r="15" spans="2:20" ht="15">
      <c r="B15" s="18" t="s">
        <v>198</v>
      </c>
      <c r="C15" s="19" t="s">
        <v>36</v>
      </c>
      <c r="D15" s="72">
        <v>5524.8140000000003</v>
      </c>
      <c r="E15" s="22"/>
      <c r="F15" s="22"/>
      <c r="G15" s="22"/>
      <c r="H15" s="22"/>
      <c r="I15" s="22"/>
      <c r="J15" s="22"/>
      <c r="K15" s="22"/>
      <c r="L15" s="22">
        <f>49512+1025800+81000</f>
        <v>1156312</v>
      </c>
      <c r="M15" s="22">
        <v>164115</v>
      </c>
      <c r="N15" s="22">
        <v>933351</v>
      </c>
      <c r="O15" s="22"/>
      <c r="P15" s="22"/>
      <c r="Q15" s="21">
        <f t="shared" si="1"/>
        <v>2253778</v>
      </c>
      <c r="R15" s="22">
        <f>+Q15*0.27</f>
        <v>608520.06000000006</v>
      </c>
      <c r="S15" s="21">
        <f t="shared" si="2"/>
        <v>2862298.06</v>
      </c>
      <c r="T15" s="24"/>
    </row>
    <row r="16" spans="2:20" ht="15">
      <c r="C16" s="25"/>
      <c r="D16" s="73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</row>
    <row r="17" spans="2:19" ht="15">
      <c r="B17" s="10">
        <v>2</v>
      </c>
      <c r="C17" s="27" t="s">
        <v>162</v>
      </c>
      <c r="D17" s="74"/>
      <c r="E17" s="29">
        <f t="shared" ref="E17:S17" si="3">SUM(E18:E27)</f>
        <v>215730</v>
      </c>
      <c r="F17" s="15">
        <f t="shared" si="3"/>
        <v>198222</v>
      </c>
      <c r="G17" s="15">
        <f t="shared" si="3"/>
        <v>208114</v>
      </c>
      <c r="H17" s="15">
        <f t="shared" si="3"/>
        <v>213015</v>
      </c>
      <c r="I17" s="15">
        <f t="shared" si="3"/>
        <v>205144</v>
      </c>
      <c r="J17" s="15">
        <f t="shared" si="3"/>
        <v>218270</v>
      </c>
      <c r="K17" s="15">
        <f t="shared" si="3"/>
        <v>231293</v>
      </c>
      <c r="L17" s="15">
        <f t="shared" si="3"/>
        <v>12890723.666666668</v>
      </c>
      <c r="M17" s="15">
        <f t="shared" si="3"/>
        <v>13600699.666666668</v>
      </c>
      <c r="N17" s="15">
        <f t="shared" si="3"/>
        <v>9752793.6666666679</v>
      </c>
      <c r="O17" s="15">
        <f t="shared" si="3"/>
        <v>18889888.666666668</v>
      </c>
      <c r="P17" s="15">
        <f t="shared" si="3"/>
        <v>18889888.666666668</v>
      </c>
      <c r="Q17" s="15">
        <f t="shared" si="3"/>
        <v>75513782.333333343</v>
      </c>
      <c r="R17" s="15">
        <f t="shared" si="3"/>
        <v>9498721.2300000004</v>
      </c>
      <c r="S17" s="15">
        <f t="shared" si="3"/>
        <v>44679170.230000004</v>
      </c>
    </row>
    <row r="18" spans="2:19" ht="15">
      <c r="B18" s="30" t="s">
        <v>37</v>
      </c>
      <c r="C18" s="19" t="s">
        <v>102</v>
      </c>
      <c r="D18" s="75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>
        <f>170*62500</f>
        <v>10625000</v>
      </c>
      <c r="P18" s="22">
        <f>170*62500</f>
        <v>10625000</v>
      </c>
      <c r="Q18" s="22">
        <f>SUM(E18:P18)</f>
        <v>21250000</v>
      </c>
      <c r="R18" s="22">
        <f>Q18*0.27</f>
        <v>5737500</v>
      </c>
      <c r="S18" s="22">
        <f>SUM(Q18:R18)</f>
        <v>26987500</v>
      </c>
    </row>
    <row r="19" spans="2:19" s="278" customFormat="1" ht="15">
      <c r="B19" s="30" t="s">
        <v>342</v>
      </c>
      <c r="C19" s="19" t="s">
        <v>347</v>
      </c>
      <c r="D19" s="75"/>
      <c r="E19" s="22"/>
      <c r="F19" s="22"/>
      <c r="G19" s="22"/>
      <c r="H19" s="22"/>
      <c r="I19" s="22"/>
      <c r="J19" s="22"/>
      <c r="K19" s="22"/>
      <c r="L19" s="22">
        <v>8066666.666666667</v>
      </c>
      <c r="M19" s="22">
        <v>8066666.666666667</v>
      </c>
      <c r="N19" s="22">
        <v>8066666.666666667</v>
      </c>
      <c r="O19" s="22">
        <v>8066666.666666667</v>
      </c>
      <c r="P19" s="22">
        <v>8066666.666666667</v>
      </c>
      <c r="Q19" s="22">
        <f t="shared" ref="Q19:Q20" si="4">SUM(E19:P19)</f>
        <v>40333333.333333336</v>
      </c>
      <c r="R19" s="22"/>
      <c r="S19" s="22"/>
    </row>
    <row r="20" spans="2:19" ht="15">
      <c r="B20" s="30" t="s">
        <v>38</v>
      </c>
      <c r="C20" s="31" t="s">
        <v>202</v>
      </c>
      <c r="D20" s="75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>
        <f t="shared" si="4"/>
        <v>0</v>
      </c>
      <c r="R20" s="22"/>
      <c r="S20" s="22"/>
    </row>
    <row r="21" spans="2:19" ht="15">
      <c r="B21" s="30" t="s">
        <v>40</v>
      </c>
      <c r="C21" s="358" t="s">
        <v>42</v>
      </c>
      <c r="D21" s="72">
        <v>5295</v>
      </c>
      <c r="E21" s="20"/>
      <c r="F21" s="20"/>
      <c r="G21" s="20"/>
      <c r="H21" s="20"/>
      <c r="I21" s="20"/>
      <c r="J21" s="20"/>
      <c r="K21" s="20">
        <v>14287</v>
      </c>
      <c r="L21" s="20">
        <v>2625835</v>
      </c>
      <c r="M21" s="20">
        <v>4189811</v>
      </c>
      <c r="N21" s="20">
        <v>465535</v>
      </c>
      <c r="O21" s="20"/>
      <c r="P21" s="20"/>
      <c r="Q21" s="22">
        <f>SUM(E21:P21)</f>
        <v>7295468</v>
      </c>
      <c r="R21" s="22">
        <f>Q21*0.27</f>
        <v>1969776.36</v>
      </c>
      <c r="S21" s="22">
        <f>SUM(Q21:R21)</f>
        <v>9265244.3599999994</v>
      </c>
    </row>
    <row r="22" spans="2:19" ht="15">
      <c r="B22" s="30" t="s">
        <v>41</v>
      </c>
      <c r="C22" s="31" t="s">
        <v>39</v>
      </c>
      <c r="D22" s="75">
        <v>5281</v>
      </c>
      <c r="E22" s="22">
        <v>198222</v>
      </c>
      <c r="F22" s="22">
        <v>198222</v>
      </c>
      <c r="G22" s="22">
        <v>198222</v>
      </c>
      <c r="H22" s="22">
        <v>198222</v>
      </c>
      <c r="I22" s="22">
        <v>198222</v>
      </c>
      <c r="J22" s="22">
        <v>198222</v>
      </c>
      <c r="K22" s="22">
        <v>198222</v>
      </c>
      <c r="L22" s="22">
        <v>198222</v>
      </c>
      <c r="M22" s="22">
        <v>198222</v>
      </c>
      <c r="N22" s="22">
        <v>198222</v>
      </c>
      <c r="O22" s="22">
        <v>198222</v>
      </c>
      <c r="P22" s="22">
        <v>198222</v>
      </c>
      <c r="Q22" s="22">
        <f t="shared" ref="Q22:Q27" si="5">SUM(E22:P22)</f>
        <v>2378664</v>
      </c>
      <c r="R22" s="22">
        <f t="shared" ref="R22:R27" si="6">Q22*0.27</f>
        <v>642239.28</v>
      </c>
      <c r="S22" s="22">
        <f t="shared" ref="S22:S27" si="7">SUM(Q22:R22)</f>
        <v>3020903.2800000003</v>
      </c>
    </row>
    <row r="23" spans="2:19" ht="15">
      <c r="B23" s="30" t="s">
        <v>43</v>
      </c>
      <c r="C23" s="19" t="s">
        <v>201</v>
      </c>
      <c r="D23" s="72">
        <v>5299</v>
      </c>
      <c r="E23" s="20">
        <v>9888</v>
      </c>
      <c r="F23" s="20"/>
      <c r="G23" s="20">
        <v>9892</v>
      </c>
      <c r="H23" s="20">
        <f>6923+250</f>
        <v>7173</v>
      </c>
      <c r="I23" s="20">
        <f>6922</f>
        <v>6922</v>
      </c>
      <c r="J23" s="20">
        <v>20048</v>
      </c>
      <c r="K23" s="20">
        <f>9906+1258</f>
        <v>11164</v>
      </c>
      <c r="L23" s="20"/>
      <c r="M23" s="20"/>
      <c r="N23" s="20">
        <v>250</v>
      </c>
      <c r="O23" s="20"/>
      <c r="P23" s="20"/>
      <c r="Q23" s="22">
        <f t="shared" si="5"/>
        <v>65337</v>
      </c>
      <c r="R23" s="22">
        <f t="shared" si="6"/>
        <v>17640.990000000002</v>
      </c>
      <c r="S23" s="22">
        <f t="shared" si="7"/>
        <v>82977.990000000005</v>
      </c>
    </row>
    <row r="24" spans="2:19" ht="15">
      <c r="B24" s="30" t="s">
        <v>45</v>
      </c>
      <c r="C24" s="19" t="s">
        <v>44</v>
      </c>
      <c r="D24" s="72">
        <v>5299</v>
      </c>
      <c r="E24" s="20"/>
      <c r="F24" s="20"/>
      <c r="G24" s="20"/>
      <c r="H24" s="20"/>
      <c r="I24" s="20"/>
      <c r="J24" s="20"/>
      <c r="K24" s="20"/>
      <c r="L24" s="20"/>
      <c r="M24" s="20">
        <v>522000</v>
      </c>
      <c r="N24" s="20">
        <v>1014500</v>
      </c>
      <c r="O24" s="20"/>
      <c r="P24" s="20"/>
      <c r="Q24" s="22">
        <f t="shared" si="5"/>
        <v>1536500</v>
      </c>
      <c r="R24" s="22">
        <f t="shared" si="6"/>
        <v>414855</v>
      </c>
      <c r="S24" s="22">
        <f t="shared" si="7"/>
        <v>1951355</v>
      </c>
    </row>
    <row r="25" spans="2:19" ht="15">
      <c r="B25" s="30" t="s">
        <v>47</v>
      </c>
      <c r="C25" s="19" t="s">
        <v>46</v>
      </c>
      <c r="D25" s="72"/>
      <c r="E25" s="20"/>
      <c r="F25" s="20"/>
      <c r="G25" s="20"/>
      <c r="H25" s="20"/>
      <c r="I25" s="20"/>
      <c r="J25" s="20"/>
      <c r="K25" s="20"/>
      <c r="L25" s="20">
        <v>2000000</v>
      </c>
      <c r="M25" s="20"/>
      <c r="N25" s="20"/>
      <c r="O25" s="20"/>
      <c r="P25" s="20"/>
      <c r="Q25" s="22">
        <f t="shared" si="5"/>
        <v>2000000</v>
      </c>
      <c r="R25" s="22">
        <f t="shared" si="6"/>
        <v>540000</v>
      </c>
      <c r="S25" s="22">
        <f t="shared" si="7"/>
        <v>2540000</v>
      </c>
    </row>
    <row r="26" spans="2:19" ht="15">
      <c r="B26" s="30" t="s">
        <v>49</v>
      </c>
      <c r="C26" s="19" t="s">
        <v>48</v>
      </c>
      <c r="D26" s="72">
        <v>533</v>
      </c>
      <c r="E26" s="20">
        <v>7620</v>
      </c>
      <c r="F26" s="20"/>
      <c r="G26" s="20"/>
      <c r="H26" s="20">
        <v>7620</v>
      </c>
      <c r="I26" s="20"/>
      <c r="J26" s="20"/>
      <c r="K26" s="20">
        <v>7620</v>
      </c>
      <c r="L26" s="20"/>
      <c r="M26" s="20"/>
      <c r="N26" s="20">
        <v>7620</v>
      </c>
      <c r="O26" s="20"/>
      <c r="P26" s="20"/>
      <c r="Q26" s="22">
        <f t="shared" si="5"/>
        <v>30480</v>
      </c>
      <c r="R26" s="22">
        <f t="shared" si="6"/>
        <v>8229.6</v>
      </c>
      <c r="S26" s="22">
        <f t="shared" si="7"/>
        <v>38709.599999999999</v>
      </c>
    </row>
    <row r="27" spans="2:19" ht="15">
      <c r="B27" s="30" t="s">
        <v>203</v>
      </c>
      <c r="C27" s="32" t="s">
        <v>50</v>
      </c>
      <c r="D27" s="76"/>
      <c r="E27" s="33"/>
      <c r="F27" s="33"/>
      <c r="G27" s="33"/>
      <c r="H27" s="33"/>
      <c r="I27" s="33"/>
      <c r="J27" s="33"/>
      <c r="K27" s="33"/>
      <c r="L27" s="33"/>
      <c r="M27" s="33">
        <v>624000</v>
      </c>
      <c r="N27" s="33"/>
      <c r="O27" s="33"/>
      <c r="P27" s="33"/>
      <c r="Q27" s="22">
        <f t="shared" si="5"/>
        <v>624000</v>
      </c>
      <c r="R27" s="22">
        <f t="shared" si="6"/>
        <v>168480</v>
      </c>
      <c r="S27" s="22">
        <f t="shared" si="7"/>
        <v>792480</v>
      </c>
    </row>
    <row r="28" spans="2:19" ht="15">
      <c r="B28" s="30"/>
      <c r="C28" s="7"/>
      <c r="D28" s="77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</row>
    <row r="29" spans="2:19" s="40" customFormat="1" ht="15">
      <c r="B29" s="37">
        <v>3</v>
      </c>
      <c r="C29" s="38" t="s">
        <v>51</v>
      </c>
      <c r="D29" s="78"/>
      <c r="E29" s="15">
        <f t="shared" ref="E29:S29" si="8">SUM(E30:E42)</f>
        <v>1033568</v>
      </c>
      <c r="F29" s="15">
        <f t="shared" si="8"/>
        <v>724367</v>
      </c>
      <c r="G29" s="15">
        <f t="shared" si="8"/>
        <v>2275205</v>
      </c>
      <c r="H29" s="15">
        <f t="shared" si="8"/>
        <v>7302991</v>
      </c>
      <c r="I29" s="15">
        <f t="shared" si="8"/>
        <v>4208747</v>
      </c>
      <c r="J29" s="15">
        <f t="shared" si="8"/>
        <v>3089333</v>
      </c>
      <c r="K29" s="15">
        <f t="shared" si="8"/>
        <v>3816162</v>
      </c>
      <c r="L29" s="15">
        <f t="shared" si="8"/>
        <v>2946599</v>
      </c>
      <c r="M29" s="15">
        <f t="shared" si="8"/>
        <v>6194475</v>
      </c>
      <c r="N29" s="15">
        <f t="shared" si="8"/>
        <v>6402469</v>
      </c>
      <c r="O29" s="15">
        <f t="shared" si="8"/>
        <v>1568517</v>
      </c>
      <c r="P29" s="15">
        <f t="shared" si="8"/>
        <v>1568517</v>
      </c>
      <c r="Q29" s="15">
        <f t="shared" si="8"/>
        <v>41130950</v>
      </c>
      <c r="R29" s="15">
        <f t="shared" si="8"/>
        <v>10339627.59</v>
      </c>
      <c r="S29" s="15">
        <f t="shared" si="8"/>
        <v>51470577.590000004</v>
      </c>
    </row>
    <row r="30" spans="2:19" ht="15">
      <c r="B30" s="30" t="s">
        <v>52</v>
      </c>
      <c r="C30" s="19" t="s">
        <v>53</v>
      </c>
      <c r="D30" s="72"/>
      <c r="E30" s="20">
        <v>90094</v>
      </c>
      <c r="F30" s="20">
        <v>90094</v>
      </c>
      <c r="G30" s="20">
        <v>90094</v>
      </c>
      <c r="H30" s="20">
        <v>90094</v>
      </c>
      <c r="I30" s="20">
        <v>90094</v>
      </c>
      <c r="J30" s="20">
        <v>90094</v>
      </c>
      <c r="K30" s="20">
        <v>90094</v>
      </c>
      <c r="L30" s="20">
        <v>90094</v>
      </c>
      <c r="M30" s="20">
        <v>90094</v>
      </c>
      <c r="N30" s="20">
        <f>90094+57500</f>
        <v>147594</v>
      </c>
      <c r="O30" s="20">
        <v>90094</v>
      </c>
      <c r="P30" s="20">
        <v>90094</v>
      </c>
      <c r="Q30" s="20">
        <f>SUM(E30:P30)</f>
        <v>1138628</v>
      </c>
      <c r="R30" s="20">
        <v>0</v>
      </c>
      <c r="S30" s="20">
        <f>+R30+Q30</f>
        <v>1138628</v>
      </c>
    </row>
    <row r="31" spans="2:19" ht="16.5" customHeight="1">
      <c r="B31" s="30" t="s">
        <v>54</v>
      </c>
      <c r="C31" s="19" t="s">
        <v>55</v>
      </c>
      <c r="D31" s="72" t="s">
        <v>104</v>
      </c>
      <c r="E31" s="20"/>
      <c r="F31" s="20"/>
      <c r="G31" s="20">
        <f>2165+2826+35575+57250+40277+61355+3526+4423+52952+6930+11340</f>
        <v>278619</v>
      </c>
      <c r="H31" s="20"/>
      <c r="I31" s="20"/>
      <c r="J31" s="20">
        <f>3435+3435+71794+48586+5329+5329+16793+16793</f>
        <v>171494</v>
      </c>
      <c r="K31" s="20"/>
      <c r="L31" s="20"/>
      <c r="M31" s="20">
        <v>311823</v>
      </c>
      <c r="N31" s="20">
        <v>311823</v>
      </c>
      <c r="O31" s="20">
        <v>311823</v>
      </c>
      <c r="P31" s="20">
        <v>311823</v>
      </c>
      <c r="Q31" s="20">
        <f t="shared" ref="Q31:Q42" si="9">SUM(E31:P31)</f>
        <v>1697405</v>
      </c>
      <c r="R31" s="22">
        <v>0</v>
      </c>
      <c r="S31" s="20">
        <f t="shared" ref="S31:S42" si="10">+R31+Q31</f>
        <v>1697405</v>
      </c>
    </row>
    <row r="32" spans="2:19" ht="16.5" customHeight="1">
      <c r="B32" s="30" t="s">
        <v>56</v>
      </c>
      <c r="C32" s="19" t="s">
        <v>57</v>
      </c>
      <c r="D32" s="72">
        <v>5281.5511999999999</v>
      </c>
      <c r="E32" s="20">
        <f>2578+1289</f>
        <v>3867</v>
      </c>
      <c r="F32" s="20">
        <f>2578+1289</f>
        <v>3867</v>
      </c>
      <c r="G32" s="20">
        <f>1289+2578+2578</f>
        <v>6445</v>
      </c>
      <c r="H32" s="20">
        <f>15000+53664+104000+45000+1289+45000+15000+2578+2578</f>
        <v>284109</v>
      </c>
      <c r="I32" s="20">
        <f>104000+1289+2578+2578</f>
        <v>110445</v>
      </c>
      <c r="J32" s="20">
        <f>56000+45000+15000+1289+15000+15000+2578+2578</f>
        <v>152445</v>
      </c>
      <c r="K32" s="20">
        <f>56000+1289+2578+2578+2578+2578</f>
        <v>67601</v>
      </c>
      <c r="L32" s="20">
        <f>7258+13065+1289+2578+2578</f>
        <v>26768</v>
      </c>
      <c r="M32" s="20">
        <f>1289+1000+15000+15000+10000+15000+15000+30000+2578</f>
        <v>104867</v>
      </c>
      <c r="N32" s="20">
        <f>1289+10000+2578+2578</f>
        <v>16445</v>
      </c>
      <c r="O32" s="20"/>
      <c r="P32" s="20"/>
      <c r="Q32" s="20">
        <f t="shared" si="9"/>
        <v>776859</v>
      </c>
      <c r="R32" s="22">
        <f>+Q32*0.27</f>
        <v>209751.93000000002</v>
      </c>
      <c r="S32" s="20">
        <f t="shared" si="10"/>
        <v>986610.93</v>
      </c>
    </row>
    <row r="33" spans="2:19" ht="16.5" customHeight="1">
      <c r="B33" s="30" t="s">
        <v>58</v>
      </c>
      <c r="C33" s="19" t="s">
        <v>59</v>
      </c>
      <c r="D33" s="72">
        <v>5287</v>
      </c>
      <c r="E33" s="20"/>
      <c r="F33" s="20"/>
      <c r="G33" s="20"/>
      <c r="H33" s="20">
        <f>300000+600000</f>
        <v>900000</v>
      </c>
      <c r="I33" s="20">
        <f>600000+3000+6500+20000</f>
        <v>629500</v>
      </c>
      <c r="J33" s="20">
        <f>600000+3000</f>
        <v>603000</v>
      </c>
      <c r="K33" s="20">
        <f>600000+3000</f>
        <v>603000</v>
      </c>
      <c r="L33" s="20">
        <f>600000+18000</f>
        <v>618000</v>
      </c>
      <c r="M33" s="20">
        <f>600000+3000+3000</f>
        <v>606000</v>
      </c>
      <c r="N33" s="20">
        <f>600000+7800</f>
        <v>607800</v>
      </c>
      <c r="O33" s="20">
        <v>600000</v>
      </c>
      <c r="P33" s="20">
        <v>600000</v>
      </c>
      <c r="Q33" s="20">
        <f t="shared" si="9"/>
        <v>5767300</v>
      </c>
      <c r="R33" s="22">
        <f t="shared" ref="R33:R42" si="11">+Q33*0.27</f>
        <v>1557171</v>
      </c>
      <c r="S33" s="20">
        <f t="shared" si="10"/>
        <v>7324471</v>
      </c>
    </row>
    <row r="34" spans="2:19" ht="16.5" customHeight="1">
      <c r="B34" s="30" t="s">
        <v>60</v>
      </c>
      <c r="C34" s="19" t="s">
        <v>61</v>
      </c>
      <c r="D34" s="72">
        <v>5292</v>
      </c>
      <c r="E34" s="20">
        <f>221000+234000</f>
        <v>455000</v>
      </c>
      <c r="F34" s="20"/>
      <c r="G34" s="20"/>
      <c r="H34" s="20">
        <v>4500</v>
      </c>
      <c r="I34" s="20"/>
      <c r="J34" s="20"/>
      <c r="K34" s="20"/>
      <c r="L34" s="20">
        <v>569610</v>
      </c>
      <c r="M34" s="20">
        <f>13500+1075390+523390+100200</f>
        <v>1712480</v>
      </c>
      <c r="N34" s="20">
        <f>523390+501000+711090</f>
        <v>1735480</v>
      </c>
      <c r="O34" s="20"/>
      <c r="P34" s="20"/>
      <c r="Q34" s="20">
        <f t="shared" si="9"/>
        <v>4477070</v>
      </c>
      <c r="R34" s="22">
        <f t="shared" si="11"/>
        <v>1208808.9000000001</v>
      </c>
      <c r="S34" s="20">
        <f t="shared" si="10"/>
        <v>5685878.9000000004</v>
      </c>
    </row>
    <row r="35" spans="2:19" ht="15">
      <c r="B35" s="30" t="s">
        <v>62</v>
      </c>
      <c r="C35" s="19" t="s">
        <v>63</v>
      </c>
      <c r="D35" s="72">
        <v>5114</v>
      </c>
      <c r="E35" s="20"/>
      <c r="F35" s="20"/>
      <c r="G35" s="20"/>
      <c r="H35" s="20">
        <f>160000*4.5</f>
        <v>720000</v>
      </c>
      <c r="I35" s="20"/>
      <c r="J35" s="20"/>
      <c r="K35" s="20"/>
      <c r="L35" s="20"/>
      <c r="M35" s="20"/>
      <c r="N35" s="20">
        <v>54300</v>
      </c>
      <c r="O35" s="20"/>
      <c r="P35" s="20"/>
      <c r="Q35" s="20">
        <f t="shared" si="9"/>
        <v>774300</v>
      </c>
      <c r="R35" s="22">
        <f t="shared" si="11"/>
        <v>209061</v>
      </c>
      <c r="S35" s="20">
        <f t="shared" si="10"/>
        <v>983361</v>
      </c>
    </row>
    <row r="36" spans="2:19" ht="15">
      <c r="B36" s="30" t="s">
        <v>64</v>
      </c>
      <c r="C36" s="19" t="s">
        <v>103</v>
      </c>
      <c r="D36" s="72">
        <v>5114</v>
      </c>
      <c r="E36" s="20">
        <f>4058+20286</f>
        <v>24344</v>
      </c>
      <c r="F36" s="20">
        <f>10945+2578</f>
        <v>13523</v>
      </c>
      <c r="G36" s="20">
        <f>4058+27074+57750</f>
        <v>88882</v>
      </c>
      <c r="H36" s="20">
        <f>38514+100989+36914+110047+28961+2993</f>
        <v>318418</v>
      </c>
      <c r="I36" s="20"/>
      <c r="J36" s="20">
        <f>8117+8549</f>
        <v>16666</v>
      </c>
      <c r="K36" s="20">
        <f>66639+68428+7734+32124+67615+29586+31929+12865</f>
        <v>316920</v>
      </c>
      <c r="L36" s="20">
        <f>25806+6900+8161+6136+24881+27698+83657+35100+12943</f>
        <v>231282</v>
      </c>
      <c r="M36" s="20">
        <f>44964+31506+900+900+362+1769+50527+38460+44751+11551</f>
        <v>225690</v>
      </c>
      <c r="N36" s="20">
        <f>58958+17103+35100+12842+26857+9055+148201+41861+4024+25407</f>
        <v>379408</v>
      </c>
      <c r="O36" s="20"/>
      <c r="P36" s="20"/>
      <c r="Q36" s="20">
        <f t="shared" si="9"/>
        <v>1615133</v>
      </c>
      <c r="R36" s="22">
        <f t="shared" si="11"/>
        <v>436085.91000000003</v>
      </c>
      <c r="S36" s="20">
        <f t="shared" si="10"/>
        <v>2051218.9100000001</v>
      </c>
    </row>
    <row r="37" spans="2:19" ht="16.5" customHeight="1">
      <c r="B37" s="30" t="s">
        <v>65</v>
      </c>
      <c r="C37" s="19" t="s">
        <v>66</v>
      </c>
      <c r="D37" s="72">
        <v>5293</v>
      </c>
      <c r="E37" s="20">
        <v>10782</v>
      </c>
      <c r="F37" s="20">
        <f>17374+18493+11500+6489</f>
        <v>53856</v>
      </c>
      <c r="G37" s="20">
        <f>25000+17024+19545+10000</f>
        <v>71569</v>
      </c>
      <c r="H37" s="20">
        <f>11698+25000+17024</f>
        <v>53722</v>
      </c>
      <c r="I37" s="20">
        <f>52955+25000+20451+21492+496</f>
        <v>120394</v>
      </c>
      <c r="J37" s="20">
        <f>25000+20377</f>
        <v>45377</v>
      </c>
      <c r="K37" s="20">
        <f>10206+25000+20548+1124</f>
        <v>56878</v>
      </c>
      <c r="L37" s="20">
        <f>18742+73393+25000+21283+6928</f>
        <v>145346</v>
      </c>
      <c r="M37" s="20">
        <f>2500+3171+25000+20853+64868</f>
        <v>116392</v>
      </c>
      <c r="N37" s="20">
        <f>25000+30995+40276</f>
        <v>96271</v>
      </c>
      <c r="O37" s="20">
        <f>25000+45000+196600</f>
        <v>266600</v>
      </c>
      <c r="P37" s="20">
        <f>25000+45000+196600</f>
        <v>266600</v>
      </c>
      <c r="Q37" s="20">
        <f t="shared" si="9"/>
        <v>1303787</v>
      </c>
      <c r="R37" s="22">
        <f t="shared" si="11"/>
        <v>352022.49000000005</v>
      </c>
      <c r="S37" s="20">
        <f t="shared" si="10"/>
        <v>1655809.49</v>
      </c>
    </row>
    <row r="38" spans="2:19" ht="15">
      <c r="B38" s="30" t="s">
        <v>67</v>
      </c>
      <c r="C38" s="19" t="s">
        <v>68</v>
      </c>
      <c r="D38" s="72">
        <v>513.5231</v>
      </c>
      <c r="E38" s="20"/>
      <c r="F38" s="20"/>
      <c r="G38" s="20"/>
      <c r="H38" s="20"/>
      <c r="I38" s="20">
        <v>5990</v>
      </c>
      <c r="J38" s="20">
        <v>2362</v>
      </c>
      <c r="K38" s="20">
        <f>15800+10007</f>
        <v>25807</v>
      </c>
      <c r="L38" s="20">
        <v>0</v>
      </c>
      <c r="M38" s="20">
        <f>8200+3890+690+250</f>
        <v>13030</v>
      </c>
      <c r="N38" s="20">
        <f>33800+3890</f>
        <v>37690</v>
      </c>
      <c r="O38" s="20"/>
      <c r="P38" s="20"/>
      <c r="Q38" s="20">
        <f t="shared" si="9"/>
        <v>84879</v>
      </c>
      <c r="R38" s="22">
        <f t="shared" si="11"/>
        <v>22917.33</v>
      </c>
      <c r="S38" s="20">
        <f t="shared" si="10"/>
        <v>107796.33</v>
      </c>
    </row>
    <row r="39" spans="2:19" ht="16.5" customHeight="1">
      <c r="B39" s="30" t="s">
        <v>69</v>
      </c>
      <c r="C39" s="19" t="s">
        <v>70</v>
      </c>
      <c r="D39" s="72">
        <v>5288</v>
      </c>
      <c r="E39" s="20"/>
      <c r="F39" s="20"/>
      <c r="G39" s="20">
        <v>1334960</v>
      </c>
      <c r="H39" s="20">
        <v>2311908</v>
      </c>
      <c r="I39" s="20">
        <v>2178412</v>
      </c>
      <c r="J39" s="20">
        <v>1077070</v>
      </c>
      <c r="K39" s="20">
        <v>1101342</v>
      </c>
      <c r="L39" s="20">
        <f>109224+26623</f>
        <v>135847</v>
      </c>
      <c r="M39" s="20">
        <v>266234</v>
      </c>
      <c r="N39" s="20">
        <v>300000</v>
      </c>
      <c r="O39" s="20">
        <v>300000</v>
      </c>
      <c r="P39" s="20">
        <v>300000</v>
      </c>
      <c r="Q39" s="20">
        <f t="shared" si="9"/>
        <v>9305773</v>
      </c>
      <c r="R39" s="22">
        <f t="shared" si="11"/>
        <v>2512558.71</v>
      </c>
      <c r="S39" s="20">
        <f t="shared" si="10"/>
        <v>11818331.710000001</v>
      </c>
    </row>
    <row r="40" spans="2:19" ht="15">
      <c r="B40" s="30" t="s">
        <v>71</v>
      </c>
      <c r="C40" s="19" t="s">
        <v>72</v>
      </c>
      <c r="D40" s="72">
        <v>5321</v>
      </c>
      <c r="E40" s="20">
        <f>5594+93887</f>
        <v>99481</v>
      </c>
      <c r="F40" s="20">
        <v>20027</v>
      </c>
      <c r="G40" s="20">
        <v>43386</v>
      </c>
      <c r="H40" s="20">
        <f>518342+115648</f>
        <v>633990</v>
      </c>
      <c r="I40" s="20">
        <f>301574+237333+27917+91588</f>
        <v>658412</v>
      </c>
      <c r="J40" s="20">
        <f>205423+192341+102061</f>
        <v>499825</v>
      </c>
      <c r="K40" s="20">
        <f>256404+323158+124958</f>
        <v>704520</v>
      </c>
      <c r="L40" s="20">
        <f>297365+32+30+403+96822</f>
        <v>394652</v>
      </c>
      <c r="M40" s="20">
        <f>16000+9990+6316+246165+239676+30860+231363+30860+246165+18000+129470</f>
        <v>1204865</v>
      </c>
      <c r="N40" s="20">
        <f>533+154300+800+1000+1056+503+13299+97651+67+215532</f>
        <v>484741</v>
      </c>
      <c r="O40" s="20"/>
      <c r="P40" s="20"/>
      <c r="Q40" s="20">
        <f t="shared" si="9"/>
        <v>4743899</v>
      </c>
      <c r="R40" s="22">
        <f t="shared" si="11"/>
        <v>1280852.73</v>
      </c>
      <c r="S40" s="20">
        <f t="shared" si="10"/>
        <v>6024751.7300000004</v>
      </c>
    </row>
    <row r="41" spans="2:19" ht="15">
      <c r="B41" s="30" t="s">
        <v>73</v>
      </c>
      <c r="C41" s="19" t="s">
        <v>74</v>
      </c>
      <c r="D41" s="72">
        <v>5294</v>
      </c>
      <c r="E41" s="20">
        <v>50000</v>
      </c>
      <c r="F41" s="20">
        <v>50000</v>
      </c>
      <c r="G41" s="20">
        <v>56250</v>
      </c>
      <c r="H41" s="20">
        <f>1120000+56250</f>
        <v>1176250</v>
      </c>
      <c r="I41" s="20">
        <v>97500</v>
      </c>
      <c r="J41" s="20">
        <v>60000</v>
      </c>
      <c r="K41" s="20">
        <v>120000</v>
      </c>
      <c r="L41" s="20">
        <v>135000</v>
      </c>
      <c r="M41" s="20">
        <v>16000</v>
      </c>
      <c r="N41" s="20">
        <f>40000+415000</f>
        <v>455000</v>
      </c>
      <c r="O41" s="20"/>
      <c r="P41" s="20"/>
      <c r="Q41" s="20">
        <f t="shared" si="9"/>
        <v>2216000</v>
      </c>
      <c r="R41" s="22">
        <f t="shared" si="11"/>
        <v>598320</v>
      </c>
      <c r="S41" s="20">
        <f t="shared" si="10"/>
        <v>2814320</v>
      </c>
    </row>
    <row r="42" spans="2:19" ht="15">
      <c r="B42" s="30" t="s">
        <v>75</v>
      </c>
      <c r="C42" s="19" t="s">
        <v>76</v>
      </c>
      <c r="D42" s="72">
        <v>5286</v>
      </c>
      <c r="E42" s="20">
        <v>300000</v>
      </c>
      <c r="F42" s="20">
        <f>175000+300000+18000</f>
        <v>493000</v>
      </c>
      <c r="G42" s="20">
        <f>300000+5000</f>
        <v>305000</v>
      </c>
      <c r="H42" s="20">
        <f>300000+175000+175000+80000+80000</f>
        <v>810000</v>
      </c>
      <c r="I42" s="20">
        <f>300000+18000</f>
        <v>318000</v>
      </c>
      <c r="J42" s="20">
        <f>300000+15000+3000+3000+50000</f>
        <v>371000</v>
      </c>
      <c r="K42" s="20">
        <f>300000+175000+175000+80000</f>
        <v>730000</v>
      </c>
      <c r="L42" s="20">
        <f>300000+300000</f>
        <v>600000</v>
      </c>
      <c r="M42" s="20">
        <f>300000+30000+175000+550000+454000+3000+15000</f>
        <v>1527000</v>
      </c>
      <c r="N42" s="20">
        <f>1200000+450000+80000+3000+15000+27917</f>
        <v>1775917</v>
      </c>
      <c r="O42" s="20"/>
      <c r="P42" s="20"/>
      <c r="Q42" s="20">
        <f t="shared" si="9"/>
        <v>7229917</v>
      </c>
      <c r="R42" s="22">
        <f t="shared" si="11"/>
        <v>1952077.59</v>
      </c>
      <c r="S42" s="20">
        <f t="shared" si="10"/>
        <v>9181994.5899999999</v>
      </c>
    </row>
    <row r="43" spans="2:19" ht="15">
      <c r="B43" s="30" t="s">
        <v>49</v>
      </c>
      <c r="C43" s="19" t="s">
        <v>108</v>
      </c>
      <c r="D43" s="72">
        <v>5299</v>
      </c>
      <c r="E43" s="20"/>
      <c r="F43" s="20"/>
      <c r="G43" s="20"/>
      <c r="H43" s="20"/>
      <c r="I43" s="20"/>
      <c r="J43" s="20"/>
      <c r="K43" s="20"/>
      <c r="L43" s="20"/>
      <c r="M43" s="20"/>
      <c r="N43" s="20">
        <f>208000+416000+944882</f>
        <v>1568882</v>
      </c>
      <c r="O43" s="20"/>
      <c r="P43" s="20"/>
      <c r="Q43" s="22">
        <f>SUM(E43:P43)</f>
        <v>1568882</v>
      </c>
      <c r="R43" s="22"/>
      <c r="S43" s="22"/>
    </row>
    <row r="45" spans="2:19" s="45" customFormat="1" ht="15">
      <c r="B45" s="41"/>
      <c r="C45" s="42" t="s">
        <v>99</v>
      </c>
      <c r="D45" s="79"/>
      <c r="E45" s="44">
        <f t="shared" ref="E45:S45" si="12">+E29+E17+E6</f>
        <v>3445072</v>
      </c>
      <c r="F45" s="44">
        <f t="shared" si="12"/>
        <v>2957065</v>
      </c>
      <c r="G45" s="44">
        <f t="shared" si="12"/>
        <v>6358793</v>
      </c>
      <c r="H45" s="44">
        <f t="shared" si="12"/>
        <v>10424942</v>
      </c>
      <c r="I45" s="44">
        <f t="shared" si="12"/>
        <v>7259772</v>
      </c>
      <c r="J45" s="44">
        <f t="shared" si="12"/>
        <v>7474209</v>
      </c>
      <c r="K45" s="44">
        <f t="shared" si="12"/>
        <v>9602125</v>
      </c>
      <c r="L45" s="44">
        <f t="shared" si="12"/>
        <v>27511529.666666668</v>
      </c>
      <c r="M45" s="44">
        <f t="shared" si="12"/>
        <v>30209968.666666668</v>
      </c>
      <c r="N45" s="44">
        <f t="shared" si="12"/>
        <v>28851915.666666668</v>
      </c>
      <c r="O45" s="44">
        <f t="shared" si="12"/>
        <v>20458405.666666668</v>
      </c>
      <c r="P45" s="44">
        <f t="shared" si="12"/>
        <v>20458405.666666668</v>
      </c>
      <c r="Q45" s="44">
        <f t="shared" si="12"/>
        <v>175012203.33333334</v>
      </c>
      <c r="R45" s="44">
        <f t="shared" si="12"/>
        <v>20501663.219999999</v>
      </c>
      <c r="S45" s="44">
        <f t="shared" si="12"/>
        <v>154290533.22000003</v>
      </c>
    </row>
    <row r="46" spans="2:19" s="40" customFormat="1" ht="15">
      <c r="B46" s="46"/>
      <c r="C46" s="47"/>
      <c r="D46" s="80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</row>
    <row r="47" spans="2:19" ht="15">
      <c r="B47" s="49">
        <v>4</v>
      </c>
      <c r="C47" s="50" t="s">
        <v>77</v>
      </c>
      <c r="D47" s="81"/>
      <c r="E47" s="52">
        <f>SUM(E48:E49)</f>
        <v>0</v>
      </c>
      <c r="F47" s="53">
        <f t="shared" ref="F47:R47" si="13">SUM(F48:F49)</f>
        <v>0</v>
      </c>
      <c r="G47" s="54">
        <f t="shared" si="13"/>
        <v>0</v>
      </c>
      <c r="H47" s="55">
        <f t="shared" si="13"/>
        <v>0</v>
      </c>
      <c r="I47" s="55">
        <f t="shared" si="13"/>
        <v>0</v>
      </c>
      <c r="J47" s="55">
        <f t="shared" si="13"/>
        <v>4177004</v>
      </c>
      <c r="K47" s="55">
        <f t="shared" si="13"/>
        <v>0</v>
      </c>
      <c r="L47" s="55">
        <f t="shared" si="13"/>
        <v>5848333.333333333</v>
      </c>
      <c r="M47" s="55">
        <f t="shared" si="13"/>
        <v>9602849.3333333321</v>
      </c>
      <c r="N47" s="55">
        <f t="shared" si="13"/>
        <v>5848333.333333333</v>
      </c>
      <c r="O47" s="55">
        <f t="shared" si="13"/>
        <v>5848333.333333333</v>
      </c>
      <c r="P47" s="55">
        <f t="shared" si="13"/>
        <v>5848333.333333333</v>
      </c>
      <c r="Q47" s="55">
        <f>SUM(Q48:Q49)</f>
        <v>37173186.666666664</v>
      </c>
      <c r="R47" s="54">
        <f t="shared" si="13"/>
        <v>0</v>
      </c>
      <c r="S47" s="54">
        <f>SUM(S48:S49)</f>
        <v>37173186.666666664</v>
      </c>
    </row>
    <row r="48" spans="2:19" s="57" customFormat="1" ht="15">
      <c r="B48" s="46" t="s">
        <v>78</v>
      </c>
      <c r="C48" s="56" t="s">
        <v>79</v>
      </c>
      <c r="D48" s="82"/>
      <c r="E48" s="20"/>
      <c r="F48" s="20"/>
      <c r="G48" s="20"/>
      <c r="H48" s="20"/>
      <c r="I48" s="20"/>
      <c r="J48" s="20">
        <f>515354+111192+445837+8341+2905402+190878</f>
        <v>4177004</v>
      </c>
      <c r="K48" s="20"/>
      <c r="L48" s="20">
        <v>5848333.333333333</v>
      </c>
      <c r="M48" s="20">
        <f>165008+40024+160108+2995+1043376+75910+17838+66506+1244+433403+198367+97768+163898+L48</f>
        <v>8314778.333333333</v>
      </c>
      <c r="N48" s="20">
        <f>+L48</f>
        <v>5848333.333333333</v>
      </c>
      <c r="O48" s="20">
        <f>+L48</f>
        <v>5848333.333333333</v>
      </c>
      <c r="P48" s="20">
        <f>+O48</f>
        <v>5848333.333333333</v>
      </c>
      <c r="Q48" s="20">
        <f>SUM(E48:P48)</f>
        <v>35885115.666666664</v>
      </c>
      <c r="R48" s="20"/>
      <c r="S48" s="20">
        <f>SUM(Q48:R48)</f>
        <v>35885115.666666664</v>
      </c>
    </row>
    <row r="49" spans="2:19" ht="15">
      <c r="B49" s="46" t="s">
        <v>80</v>
      </c>
      <c r="C49" s="56" t="s">
        <v>81</v>
      </c>
      <c r="D49" s="82"/>
      <c r="E49" s="20"/>
      <c r="F49" s="20"/>
      <c r="G49" s="20"/>
      <c r="H49" s="20"/>
      <c r="I49" s="20"/>
      <c r="J49" s="20"/>
      <c r="K49" s="20"/>
      <c r="L49" s="20"/>
      <c r="M49" s="20">
        <v>1288071</v>
      </c>
      <c r="N49" s="20"/>
      <c r="O49" s="20"/>
      <c r="P49" s="20"/>
      <c r="Q49" s="20">
        <f>SUM(E49:P49)</f>
        <v>1288071</v>
      </c>
      <c r="R49" s="20"/>
      <c r="S49" s="20">
        <f>SUM(Q49:R49)</f>
        <v>1288071</v>
      </c>
    </row>
    <row r="50" spans="2:19" ht="15">
      <c r="B50" s="46"/>
      <c r="C50" s="47"/>
      <c r="D50" s="80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</row>
    <row r="51" spans="2:19" s="58" customFormat="1" ht="16.5" customHeight="1">
      <c r="C51" s="38" t="s">
        <v>82</v>
      </c>
      <c r="D51" s="78"/>
      <c r="E51" s="59">
        <f>+E45+E47</f>
        <v>3445072</v>
      </c>
      <c r="F51" s="59">
        <f t="shared" ref="F51:P51" si="14">+F45+F47</f>
        <v>2957065</v>
      </c>
      <c r="G51" s="59">
        <f t="shared" si="14"/>
        <v>6358793</v>
      </c>
      <c r="H51" s="59">
        <f t="shared" si="14"/>
        <v>10424942</v>
      </c>
      <c r="I51" s="59">
        <f t="shared" si="14"/>
        <v>7259772</v>
      </c>
      <c r="J51" s="59">
        <f t="shared" si="14"/>
        <v>11651213</v>
      </c>
      <c r="K51" s="59">
        <f t="shared" si="14"/>
        <v>9602125</v>
      </c>
      <c r="L51" s="59">
        <f t="shared" si="14"/>
        <v>33359863</v>
      </c>
      <c r="M51" s="59">
        <f t="shared" si="14"/>
        <v>39812818</v>
      </c>
      <c r="N51" s="59">
        <f t="shared" si="14"/>
        <v>34700249</v>
      </c>
      <c r="O51" s="59">
        <f t="shared" si="14"/>
        <v>26306739</v>
      </c>
      <c r="P51" s="59">
        <f t="shared" si="14"/>
        <v>26306739</v>
      </c>
      <c r="Q51" s="59">
        <f>+Q45+Q47</f>
        <v>212185390</v>
      </c>
      <c r="R51" s="59">
        <f>+R45+R48+R49</f>
        <v>20501663.219999999</v>
      </c>
      <c r="S51" s="59">
        <f>+S45+S48+S49</f>
        <v>191463719.88666669</v>
      </c>
    </row>
    <row r="53" spans="2:19" ht="15">
      <c r="B53" s="10">
        <v>5</v>
      </c>
      <c r="C53" s="60" t="s">
        <v>101</v>
      </c>
      <c r="D53" s="83"/>
      <c r="E53" s="15">
        <f t="shared" ref="E53:S53" si="15">SUM(E54:E57)</f>
        <v>3012698</v>
      </c>
      <c r="F53" s="15">
        <f t="shared" si="15"/>
        <v>0</v>
      </c>
      <c r="G53" s="15">
        <f t="shared" si="15"/>
        <v>485248757</v>
      </c>
      <c r="H53" s="15">
        <f t="shared" si="15"/>
        <v>10453088</v>
      </c>
      <c r="I53" s="15">
        <f t="shared" si="15"/>
        <v>4624780</v>
      </c>
      <c r="J53" s="15">
        <f t="shared" si="15"/>
        <v>944982</v>
      </c>
      <c r="K53" s="15">
        <f t="shared" si="15"/>
        <v>4916107</v>
      </c>
      <c r="L53" s="15">
        <f t="shared" si="15"/>
        <v>3421025</v>
      </c>
      <c r="M53" s="15">
        <f t="shared" si="15"/>
        <v>6090658</v>
      </c>
      <c r="N53" s="15">
        <f t="shared" si="15"/>
        <v>0</v>
      </c>
      <c r="O53" s="15">
        <f t="shared" si="15"/>
        <v>0</v>
      </c>
      <c r="P53" s="15">
        <f t="shared" si="15"/>
        <v>0</v>
      </c>
      <c r="Q53" s="15">
        <f t="shared" si="15"/>
        <v>34712095</v>
      </c>
      <c r="R53" s="15">
        <f t="shared" si="15"/>
        <v>9372265.6500000004</v>
      </c>
      <c r="S53" s="15">
        <f t="shared" si="15"/>
        <v>44084360.649999999</v>
      </c>
    </row>
    <row r="54" spans="2:19" ht="15">
      <c r="B54" s="30" t="s">
        <v>83</v>
      </c>
      <c r="C54" s="31" t="s">
        <v>84</v>
      </c>
      <c r="D54" s="75" t="s">
        <v>107</v>
      </c>
      <c r="E54" s="22">
        <f>157480+275590+157400+59056+1417323+629920+216929+79000+20000</f>
        <v>3012698</v>
      </c>
      <c r="F54" s="22"/>
      <c r="G54" s="22">
        <f>302315+1560+944882</f>
        <v>1248757</v>
      </c>
      <c r="H54" s="22">
        <f>276000+350000+2617000+27500+1819960+157480+157480+157480+552000+944882+308000+47756+249700+2787850</f>
        <v>10453088</v>
      </c>
      <c r="I54" s="22">
        <f>944882+196860+708696+34173+78744+2214825+171600</f>
        <v>4349780</v>
      </c>
      <c r="J54" s="22">
        <v>944982</v>
      </c>
      <c r="K54" s="22">
        <f>944982+1079500+2492775+97350+301500</f>
        <v>4916107</v>
      </c>
      <c r="L54" s="22">
        <f>16000+168300+2016325+628900</f>
        <v>2829525</v>
      </c>
      <c r="M54" s="22">
        <f>214500+2440700+628900+56870+94488+214500+2440700</f>
        <v>6090658</v>
      </c>
      <c r="N54" s="22"/>
      <c r="O54" s="22"/>
      <c r="P54" s="22"/>
      <c r="Q54" s="22">
        <f>SUM(E54:P54)</f>
        <v>33845595</v>
      </c>
      <c r="R54" s="22">
        <f>Q54*0.27</f>
        <v>9138310.6500000004</v>
      </c>
      <c r="S54" s="22">
        <f>SUM(Q54:R54)</f>
        <v>42983905.649999999</v>
      </c>
    </row>
    <row r="55" spans="2:19" ht="15">
      <c r="B55" s="30" t="s">
        <v>86</v>
      </c>
      <c r="C55" s="19" t="s">
        <v>87</v>
      </c>
      <c r="D55" s="72"/>
      <c r="E55" s="20"/>
      <c r="F55" s="20"/>
      <c r="G55" s="20"/>
      <c r="H55" s="20"/>
      <c r="I55" s="20"/>
      <c r="J55" s="20"/>
      <c r="K55" s="20"/>
      <c r="L55" s="20">
        <v>591500</v>
      </c>
      <c r="M55" s="20"/>
      <c r="N55" s="20"/>
      <c r="O55" s="20"/>
      <c r="P55" s="20"/>
      <c r="Q55" s="22">
        <f>SUM(E55:P55)</f>
        <v>591500</v>
      </c>
      <c r="R55" s="22">
        <f>Q55*0.27</f>
        <v>159705</v>
      </c>
      <c r="S55" s="22">
        <f>SUM(Q55:R55)</f>
        <v>751205</v>
      </c>
    </row>
    <row r="56" spans="2:19" ht="15">
      <c r="B56" s="30" t="s">
        <v>88</v>
      </c>
      <c r="C56" s="19" t="s">
        <v>68</v>
      </c>
      <c r="D56" s="72"/>
      <c r="E56" s="20"/>
      <c r="F56" s="20"/>
      <c r="G56" s="20"/>
      <c r="H56" s="20"/>
      <c r="I56" s="20">
        <v>275000</v>
      </c>
      <c r="J56" s="20"/>
      <c r="K56" s="20"/>
      <c r="L56" s="20"/>
      <c r="M56" s="20"/>
      <c r="N56" s="20"/>
      <c r="O56" s="20"/>
      <c r="P56" s="20"/>
      <c r="Q56" s="22">
        <f>SUM(E56:P56)</f>
        <v>275000</v>
      </c>
      <c r="R56" s="22">
        <f>Q56*0.27</f>
        <v>74250</v>
      </c>
      <c r="S56" s="22">
        <f>SUM(Q56:R56)</f>
        <v>349250</v>
      </c>
    </row>
    <row r="57" spans="2:19" ht="15">
      <c r="B57" s="30"/>
      <c r="C57" s="19" t="s">
        <v>113</v>
      </c>
      <c r="D57" s="72"/>
      <c r="E57" s="20"/>
      <c r="F57" s="20"/>
      <c r="G57" s="20">
        <v>484000000</v>
      </c>
      <c r="H57" s="20"/>
      <c r="I57" s="20"/>
      <c r="J57" s="20"/>
      <c r="K57" s="20"/>
      <c r="L57" s="20"/>
      <c r="M57" s="20"/>
      <c r="N57" s="20"/>
      <c r="O57" s="20"/>
      <c r="P57" s="20"/>
      <c r="Q57" s="22"/>
      <c r="R57" s="22"/>
      <c r="S57" s="22"/>
    </row>
    <row r="58" spans="2:19" s="61" customFormat="1" ht="12.75">
      <c r="D58" s="84"/>
      <c r="Q58" s="62"/>
    </row>
    <row r="59" spans="2:19" s="63" customFormat="1" ht="12.75">
      <c r="C59" s="64" t="s">
        <v>89</v>
      </c>
      <c r="D59" s="85"/>
      <c r="E59" s="65">
        <f>+E51+E53</f>
        <v>6457770</v>
      </c>
      <c r="F59" s="65">
        <f t="shared" ref="F59:P59" si="16">+F51+F53</f>
        <v>2957065</v>
      </c>
      <c r="G59" s="65">
        <f t="shared" si="16"/>
        <v>491607550</v>
      </c>
      <c r="H59" s="65">
        <f t="shared" si="16"/>
        <v>20878030</v>
      </c>
      <c r="I59" s="65">
        <f t="shared" si="16"/>
        <v>11884552</v>
      </c>
      <c r="J59" s="65">
        <f t="shared" si="16"/>
        <v>12596195</v>
      </c>
      <c r="K59" s="65">
        <f t="shared" si="16"/>
        <v>14518232</v>
      </c>
      <c r="L59" s="65">
        <f t="shared" si="16"/>
        <v>36780888</v>
      </c>
      <c r="M59" s="65">
        <f t="shared" si="16"/>
        <v>45903476</v>
      </c>
      <c r="N59" s="65">
        <f t="shared" si="16"/>
        <v>34700249</v>
      </c>
      <c r="O59" s="65">
        <f t="shared" si="16"/>
        <v>26306739</v>
      </c>
      <c r="P59" s="65">
        <f t="shared" si="16"/>
        <v>26306739</v>
      </c>
      <c r="Q59" s="65">
        <f>+Q51+Q53</f>
        <v>246897485</v>
      </c>
      <c r="R59" s="65">
        <f>+R53+R51+R45</f>
        <v>50375592.089999996</v>
      </c>
      <c r="S59" s="65">
        <f>+S53+S51+S45</f>
        <v>389838613.75666672</v>
      </c>
    </row>
    <row r="60" spans="2:19" s="61" customFormat="1" ht="12.75">
      <c r="D60" s="84"/>
      <c r="Q60" s="62"/>
    </row>
  </sheetData>
  <mergeCells count="1">
    <mergeCell ref="C2:S3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"/>
  <sheetViews>
    <sheetView showGridLines="0" workbookViewId="0">
      <selection activeCell="J20" sqref="J20"/>
    </sheetView>
  </sheetViews>
  <sheetFormatPr defaultRowHeight="15"/>
  <cols>
    <col min="1" max="1" width="14.140625" style="88" bestFit="1" customWidth="1"/>
    <col min="2" max="2" width="32.7109375" style="88" customWidth="1"/>
    <col min="3" max="3" width="12.140625" style="88" customWidth="1"/>
    <col min="4" max="4" width="9.85546875" style="88" hidden="1" customWidth="1"/>
    <col min="5" max="5" width="9.28515625" style="88" bestFit="1" customWidth="1"/>
    <col min="6" max="6" width="10.140625" style="88" hidden="1" customWidth="1"/>
    <col min="7" max="8" width="9.28515625" style="88" hidden="1" customWidth="1"/>
    <col min="9" max="9" width="8.28515625" style="89" hidden="1" customWidth="1"/>
    <col min="10" max="12" width="9.140625" style="88"/>
    <col min="13" max="17" width="9.140625" style="87"/>
    <col min="257" max="257" width="14.140625" bestFit="1" customWidth="1"/>
    <col min="258" max="258" width="32.7109375" customWidth="1"/>
    <col min="259" max="259" width="12.140625" customWidth="1"/>
    <col min="260" max="260" width="9.85546875" bestFit="1" customWidth="1"/>
    <col min="261" max="261" width="9.28515625" bestFit="1" customWidth="1"/>
    <col min="262" max="262" width="10.140625" customWidth="1"/>
    <col min="263" max="264" width="9.28515625" bestFit="1" customWidth="1"/>
    <col min="265" max="265" width="8.28515625" bestFit="1" customWidth="1"/>
    <col min="513" max="513" width="14.140625" bestFit="1" customWidth="1"/>
    <col min="514" max="514" width="32.7109375" customWidth="1"/>
    <col min="515" max="515" width="12.140625" customWidth="1"/>
    <col min="516" max="516" width="9.85546875" bestFit="1" customWidth="1"/>
    <col min="517" max="517" width="9.28515625" bestFit="1" customWidth="1"/>
    <col min="518" max="518" width="10.140625" customWidth="1"/>
    <col min="519" max="520" width="9.28515625" bestFit="1" customWidth="1"/>
    <col min="521" max="521" width="8.28515625" bestFit="1" customWidth="1"/>
    <col min="769" max="769" width="14.140625" bestFit="1" customWidth="1"/>
    <col min="770" max="770" width="32.7109375" customWidth="1"/>
    <col min="771" max="771" width="12.140625" customWidth="1"/>
    <col min="772" max="772" width="9.85546875" bestFit="1" customWidth="1"/>
    <col min="773" max="773" width="9.28515625" bestFit="1" customWidth="1"/>
    <col min="774" max="774" width="10.140625" customWidth="1"/>
    <col min="775" max="776" width="9.28515625" bestFit="1" customWidth="1"/>
    <col min="777" max="777" width="8.28515625" bestFit="1" customWidth="1"/>
    <col min="1025" max="1025" width="14.140625" bestFit="1" customWidth="1"/>
    <col min="1026" max="1026" width="32.7109375" customWidth="1"/>
    <col min="1027" max="1027" width="12.140625" customWidth="1"/>
    <col min="1028" max="1028" width="9.85546875" bestFit="1" customWidth="1"/>
    <col min="1029" max="1029" width="9.28515625" bestFit="1" customWidth="1"/>
    <col min="1030" max="1030" width="10.140625" customWidth="1"/>
    <col min="1031" max="1032" width="9.28515625" bestFit="1" customWidth="1"/>
    <col min="1033" max="1033" width="8.28515625" bestFit="1" customWidth="1"/>
    <col min="1281" max="1281" width="14.140625" bestFit="1" customWidth="1"/>
    <col min="1282" max="1282" width="32.7109375" customWidth="1"/>
    <col min="1283" max="1283" width="12.140625" customWidth="1"/>
    <col min="1284" max="1284" width="9.85546875" bestFit="1" customWidth="1"/>
    <col min="1285" max="1285" width="9.28515625" bestFit="1" customWidth="1"/>
    <col min="1286" max="1286" width="10.140625" customWidth="1"/>
    <col min="1287" max="1288" width="9.28515625" bestFit="1" customWidth="1"/>
    <col min="1289" max="1289" width="8.28515625" bestFit="1" customWidth="1"/>
    <col min="1537" max="1537" width="14.140625" bestFit="1" customWidth="1"/>
    <col min="1538" max="1538" width="32.7109375" customWidth="1"/>
    <col min="1539" max="1539" width="12.140625" customWidth="1"/>
    <col min="1540" max="1540" width="9.85546875" bestFit="1" customWidth="1"/>
    <col min="1541" max="1541" width="9.28515625" bestFit="1" customWidth="1"/>
    <col min="1542" max="1542" width="10.140625" customWidth="1"/>
    <col min="1543" max="1544" width="9.28515625" bestFit="1" customWidth="1"/>
    <col min="1545" max="1545" width="8.28515625" bestFit="1" customWidth="1"/>
    <col min="1793" max="1793" width="14.140625" bestFit="1" customWidth="1"/>
    <col min="1794" max="1794" width="32.7109375" customWidth="1"/>
    <col min="1795" max="1795" width="12.140625" customWidth="1"/>
    <col min="1796" max="1796" width="9.85546875" bestFit="1" customWidth="1"/>
    <col min="1797" max="1797" width="9.28515625" bestFit="1" customWidth="1"/>
    <col min="1798" max="1798" width="10.140625" customWidth="1"/>
    <col min="1799" max="1800" width="9.28515625" bestFit="1" customWidth="1"/>
    <col min="1801" max="1801" width="8.28515625" bestFit="1" customWidth="1"/>
    <col min="2049" max="2049" width="14.140625" bestFit="1" customWidth="1"/>
    <col min="2050" max="2050" width="32.7109375" customWidth="1"/>
    <col min="2051" max="2051" width="12.140625" customWidth="1"/>
    <col min="2052" max="2052" width="9.85546875" bestFit="1" customWidth="1"/>
    <col min="2053" max="2053" width="9.28515625" bestFit="1" customWidth="1"/>
    <col min="2054" max="2054" width="10.140625" customWidth="1"/>
    <col min="2055" max="2056" width="9.28515625" bestFit="1" customWidth="1"/>
    <col min="2057" max="2057" width="8.28515625" bestFit="1" customWidth="1"/>
    <col min="2305" max="2305" width="14.140625" bestFit="1" customWidth="1"/>
    <col min="2306" max="2306" width="32.7109375" customWidth="1"/>
    <col min="2307" max="2307" width="12.140625" customWidth="1"/>
    <col min="2308" max="2308" width="9.85546875" bestFit="1" customWidth="1"/>
    <col min="2309" max="2309" width="9.28515625" bestFit="1" customWidth="1"/>
    <col min="2310" max="2310" width="10.140625" customWidth="1"/>
    <col min="2311" max="2312" width="9.28515625" bestFit="1" customWidth="1"/>
    <col min="2313" max="2313" width="8.28515625" bestFit="1" customWidth="1"/>
    <col min="2561" max="2561" width="14.140625" bestFit="1" customWidth="1"/>
    <col min="2562" max="2562" width="32.7109375" customWidth="1"/>
    <col min="2563" max="2563" width="12.140625" customWidth="1"/>
    <col min="2564" max="2564" width="9.85546875" bestFit="1" customWidth="1"/>
    <col min="2565" max="2565" width="9.28515625" bestFit="1" customWidth="1"/>
    <col min="2566" max="2566" width="10.140625" customWidth="1"/>
    <col min="2567" max="2568" width="9.28515625" bestFit="1" customWidth="1"/>
    <col min="2569" max="2569" width="8.28515625" bestFit="1" customWidth="1"/>
    <col min="2817" max="2817" width="14.140625" bestFit="1" customWidth="1"/>
    <col min="2818" max="2818" width="32.7109375" customWidth="1"/>
    <col min="2819" max="2819" width="12.140625" customWidth="1"/>
    <col min="2820" max="2820" width="9.85546875" bestFit="1" customWidth="1"/>
    <col min="2821" max="2821" width="9.28515625" bestFit="1" customWidth="1"/>
    <col min="2822" max="2822" width="10.140625" customWidth="1"/>
    <col min="2823" max="2824" width="9.28515625" bestFit="1" customWidth="1"/>
    <col min="2825" max="2825" width="8.28515625" bestFit="1" customWidth="1"/>
    <col min="3073" max="3073" width="14.140625" bestFit="1" customWidth="1"/>
    <col min="3074" max="3074" width="32.7109375" customWidth="1"/>
    <col min="3075" max="3075" width="12.140625" customWidth="1"/>
    <col min="3076" max="3076" width="9.85546875" bestFit="1" customWidth="1"/>
    <col min="3077" max="3077" width="9.28515625" bestFit="1" customWidth="1"/>
    <col min="3078" max="3078" width="10.140625" customWidth="1"/>
    <col min="3079" max="3080" width="9.28515625" bestFit="1" customWidth="1"/>
    <col min="3081" max="3081" width="8.28515625" bestFit="1" customWidth="1"/>
    <col min="3329" max="3329" width="14.140625" bestFit="1" customWidth="1"/>
    <col min="3330" max="3330" width="32.7109375" customWidth="1"/>
    <col min="3331" max="3331" width="12.140625" customWidth="1"/>
    <col min="3332" max="3332" width="9.85546875" bestFit="1" customWidth="1"/>
    <col min="3333" max="3333" width="9.28515625" bestFit="1" customWidth="1"/>
    <col min="3334" max="3334" width="10.140625" customWidth="1"/>
    <col min="3335" max="3336" width="9.28515625" bestFit="1" customWidth="1"/>
    <col min="3337" max="3337" width="8.28515625" bestFit="1" customWidth="1"/>
    <col min="3585" max="3585" width="14.140625" bestFit="1" customWidth="1"/>
    <col min="3586" max="3586" width="32.7109375" customWidth="1"/>
    <col min="3587" max="3587" width="12.140625" customWidth="1"/>
    <col min="3588" max="3588" width="9.85546875" bestFit="1" customWidth="1"/>
    <col min="3589" max="3589" width="9.28515625" bestFit="1" customWidth="1"/>
    <col min="3590" max="3590" width="10.140625" customWidth="1"/>
    <col min="3591" max="3592" width="9.28515625" bestFit="1" customWidth="1"/>
    <col min="3593" max="3593" width="8.28515625" bestFit="1" customWidth="1"/>
    <col min="3841" max="3841" width="14.140625" bestFit="1" customWidth="1"/>
    <col min="3842" max="3842" width="32.7109375" customWidth="1"/>
    <col min="3843" max="3843" width="12.140625" customWidth="1"/>
    <col min="3844" max="3844" width="9.85546875" bestFit="1" customWidth="1"/>
    <col min="3845" max="3845" width="9.28515625" bestFit="1" customWidth="1"/>
    <col min="3846" max="3846" width="10.140625" customWidth="1"/>
    <col min="3847" max="3848" width="9.28515625" bestFit="1" customWidth="1"/>
    <col min="3849" max="3849" width="8.28515625" bestFit="1" customWidth="1"/>
    <col min="4097" max="4097" width="14.140625" bestFit="1" customWidth="1"/>
    <col min="4098" max="4098" width="32.7109375" customWidth="1"/>
    <col min="4099" max="4099" width="12.140625" customWidth="1"/>
    <col min="4100" max="4100" width="9.85546875" bestFit="1" customWidth="1"/>
    <col min="4101" max="4101" width="9.28515625" bestFit="1" customWidth="1"/>
    <col min="4102" max="4102" width="10.140625" customWidth="1"/>
    <col min="4103" max="4104" width="9.28515625" bestFit="1" customWidth="1"/>
    <col min="4105" max="4105" width="8.28515625" bestFit="1" customWidth="1"/>
    <col min="4353" max="4353" width="14.140625" bestFit="1" customWidth="1"/>
    <col min="4354" max="4354" width="32.7109375" customWidth="1"/>
    <col min="4355" max="4355" width="12.140625" customWidth="1"/>
    <col min="4356" max="4356" width="9.85546875" bestFit="1" customWidth="1"/>
    <col min="4357" max="4357" width="9.28515625" bestFit="1" customWidth="1"/>
    <col min="4358" max="4358" width="10.140625" customWidth="1"/>
    <col min="4359" max="4360" width="9.28515625" bestFit="1" customWidth="1"/>
    <col min="4361" max="4361" width="8.28515625" bestFit="1" customWidth="1"/>
    <col min="4609" max="4609" width="14.140625" bestFit="1" customWidth="1"/>
    <col min="4610" max="4610" width="32.7109375" customWidth="1"/>
    <col min="4611" max="4611" width="12.140625" customWidth="1"/>
    <col min="4612" max="4612" width="9.85546875" bestFit="1" customWidth="1"/>
    <col min="4613" max="4613" width="9.28515625" bestFit="1" customWidth="1"/>
    <col min="4614" max="4614" width="10.140625" customWidth="1"/>
    <col min="4615" max="4616" width="9.28515625" bestFit="1" customWidth="1"/>
    <col min="4617" max="4617" width="8.28515625" bestFit="1" customWidth="1"/>
    <col min="4865" max="4865" width="14.140625" bestFit="1" customWidth="1"/>
    <col min="4866" max="4866" width="32.7109375" customWidth="1"/>
    <col min="4867" max="4867" width="12.140625" customWidth="1"/>
    <col min="4868" max="4868" width="9.85546875" bestFit="1" customWidth="1"/>
    <col min="4869" max="4869" width="9.28515625" bestFit="1" customWidth="1"/>
    <col min="4870" max="4870" width="10.140625" customWidth="1"/>
    <col min="4871" max="4872" width="9.28515625" bestFit="1" customWidth="1"/>
    <col min="4873" max="4873" width="8.28515625" bestFit="1" customWidth="1"/>
    <col min="5121" max="5121" width="14.140625" bestFit="1" customWidth="1"/>
    <col min="5122" max="5122" width="32.7109375" customWidth="1"/>
    <col min="5123" max="5123" width="12.140625" customWidth="1"/>
    <col min="5124" max="5124" width="9.85546875" bestFit="1" customWidth="1"/>
    <col min="5125" max="5125" width="9.28515625" bestFit="1" customWidth="1"/>
    <col min="5126" max="5126" width="10.140625" customWidth="1"/>
    <col min="5127" max="5128" width="9.28515625" bestFit="1" customWidth="1"/>
    <col min="5129" max="5129" width="8.28515625" bestFit="1" customWidth="1"/>
    <col min="5377" max="5377" width="14.140625" bestFit="1" customWidth="1"/>
    <col min="5378" max="5378" width="32.7109375" customWidth="1"/>
    <col min="5379" max="5379" width="12.140625" customWidth="1"/>
    <col min="5380" max="5380" width="9.85546875" bestFit="1" customWidth="1"/>
    <col min="5381" max="5381" width="9.28515625" bestFit="1" customWidth="1"/>
    <col min="5382" max="5382" width="10.140625" customWidth="1"/>
    <col min="5383" max="5384" width="9.28515625" bestFit="1" customWidth="1"/>
    <col min="5385" max="5385" width="8.28515625" bestFit="1" customWidth="1"/>
    <col min="5633" max="5633" width="14.140625" bestFit="1" customWidth="1"/>
    <col min="5634" max="5634" width="32.7109375" customWidth="1"/>
    <col min="5635" max="5635" width="12.140625" customWidth="1"/>
    <col min="5636" max="5636" width="9.85546875" bestFit="1" customWidth="1"/>
    <col min="5637" max="5637" width="9.28515625" bestFit="1" customWidth="1"/>
    <col min="5638" max="5638" width="10.140625" customWidth="1"/>
    <col min="5639" max="5640" width="9.28515625" bestFit="1" customWidth="1"/>
    <col min="5641" max="5641" width="8.28515625" bestFit="1" customWidth="1"/>
    <col min="5889" max="5889" width="14.140625" bestFit="1" customWidth="1"/>
    <col min="5890" max="5890" width="32.7109375" customWidth="1"/>
    <col min="5891" max="5891" width="12.140625" customWidth="1"/>
    <col min="5892" max="5892" width="9.85546875" bestFit="1" customWidth="1"/>
    <col min="5893" max="5893" width="9.28515625" bestFit="1" customWidth="1"/>
    <col min="5894" max="5894" width="10.140625" customWidth="1"/>
    <col min="5895" max="5896" width="9.28515625" bestFit="1" customWidth="1"/>
    <col min="5897" max="5897" width="8.28515625" bestFit="1" customWidth="1"/>
    <col min="6145" max="6145" width="14.140625" bestFit="1" customWidth="1"/>
    <col min="6146" max="6146" width="32.7109375" customWidth="1"/>
    <col min="6147" max="6147" width="12.140625" customWidth="1"/>
    <col min="6148" max="6148" width="9.85546875" bestFit="1" customWidth="1"/>
    <col min="6149" max="6149" width="9.28515625" bestFit="1" customWidth="1"/>
    <col min="6150" max="6150" width="10.140625" customWidth="1"/>
    <col min="6151" max="6152" width="9.28515625" bestFit="1" customWidth="1"/>
    <col min="6153" max="6153" width="8.28515625" bestFit="1" customWidth="1"/>
    <col min="6401" max="6401" width="14.140625" bestFit="1" customWidth="1"/>
    <col min="6402" max="6402" width="32.7109375" customWidth="1"/>
    <col min="6403" max="6403" width="12.140625" customWidth="1"/>
    <col min="6404" max="6404" width="9.85546875" bestFit="1" customWidth="1"/>
    <col min="6405" max="6405" width="9.28515625" bestFit="1" customWidth="1"/>
    <col min="6406" max="6406" width="10.140625" customWidth="1"/>
    <col min="6407" max="6408" width="9.28515625" bestFit="1" customWidth="1"/>
    <col min="6409" max="6409" width="8.28515625" bestFit="1" customWidth="1"/>
    <col min="6657" max="6657" width="14.140625" bestFit="1" customWidth="1"/>
    <col min="6658" max="6658" width="32.7109375" customWidth="1"/>
    <col min="6659" max="6659" width="12.140625" customWidth="1"/>
    <col min="6660" max="6660" width="9.85546875" bestFit="1" customWidth="1"/>
    <col min="6661" max="6661" width="9.28515625" bestFit="1" customWidth="1"/>
    <col min="6662" max="6662" width="10.140625" customWidth="1"/>
    <col min="6663" max="6664" width="9.28515625" bestFit="1" customWidth="1"/>
    <col min="6665" max="6665" width="8.28515625" bestFit="1" customWidth="1"/>
    <col min="6913" max="6913" width="14.140625" bestFit="1" customWidth="1"/>
    <col min="6914" max="6914" width="32.7109375" customWidth="1"/>
    <col min="6915" max="6915" width="12.140625" customWidth="1"/>
    <col min="6916" max="6916" width="9.85546875" bestFit="1" customWidth="1"/>
    <col min="6917" max="6917" width="9.28515625" bestFit="1" customWidth="1"/>
    <col min="6918" max="6918" width="10.140625" customWidth="1"/>
    <col min="6919" max="6920" width="9.28515625" bestFit="1" customWidth="1"/>
    <col min="6921" max="6921" width="8.28515625" bestFit="1" customWidth="1"/>
    <col min="7169" max="7169" width="14.140625" bestFit="1" customWidth="1"/>
    <col min="7170" max="7170" width="32.7109375" customWidth="1"/>
    <col min="7171" max="7171" width="12.140625" customWidth="1"/>
    <col min="7172" max="7172" width="9.85546875" bestFit="1" customWidth="1"/>
    <col min="7173" max="7173" width="9.28515625" bestFit="1" customWidth="1"/>
    <col min="7174" max="7174" width="10.140625" customWidth="1"/>
    <col min="7175" max="7176" width="9.28515625" bestFit="1" customWidth="1"/>
    <col min="7177" max="7177" width="8.28515625" bestFit="1" customWidth="1"/>
    <col min="7425" max="7425" width="14.140625" bestFit="1" customWidth="1"/>
    <col min="7426" max="7426" width="32.7109375" customWidth="1"/>
    <col min="7427" max="7427" width="12.140625" customWidth="1"/>
    <col min="7428" max="7428" width="9.85546875" bestFit="1" customWidth="1"/>
    <col min="7429" max="7429" width="9.28515625" bestFit="1" customWidth="1"/>
    <col min="7430" max="7430" width="10.140625" customWidth="1"/>
    <col min="7431" max="7432" width="9.28515625" bestFit="1" customWidth="1"/>
    <col min="7433" max="7433" width="8.28515625" bestFit="1" customWidth="1"/>
    <col min="7681" max="7681" width="14.140625" bestFit="1" customWidth="1"/>
    <col min="7682" max="7682" width="32.7109375" customWidth="1"/>
    <col min="7683" max="7683" width="12.140625" customWidth="1"/>
    <col min="7684" max="7684" width="9.85546875" bestFit="1" customWidth="1"/>
    <col min="7685" max="7685" width="9.28515625" bestFit="1" customWidth="1"/>
    <col min="7686" max="7686" width="10.140625" customWidth="1"/>
    <col min="7687" max="7688" width="9.28515625" bestFit="1" customWidth="1"/>
    <col min="7689" max="7689" width="8.28515625" bestFit="1" customWidth="1"/>
    <col min="7937" max="7937" width="14.140625" bestFit="1" customWidth="1"/>
    <col min="7938" max="7938" width="32.7109375" customWidth="1"/>
    <col min="7939" max="7939" width="12.140625" customWidth="1"/>
    <col min="7940" max="7940" width="9.85546875" bestFit="1" customWidth="1"/>
    <col min="7941" max="7941" width="9.28515625" bestFit="1" customWidth="1"/>
    <col min="7942" max="7942" width="10.140625" customWidth="1"/>
    <col min="7943" max="7944" width="9.28515625" bestFit="1" customWidth="1"/>
    <col min="7945" max="7945" width="8.28515625" bestFit="1" customWidth="1"/>
    <col min="8193" max="8193" width="14.140625" bestFit="1" customWidth="1"/>
    <col min="8194" max="8194" width="32.7109375" customWidth="1"/>
    <col min="8195" max="8195" width="12.140625" customWidth="1"/>
    <col min="8196" max="8196" width="9.85546875" bestFit="1" customWidth="1"/>
    <col min="8197" max="8197" width="9.28515625" bestFit="1" customWidth="1"/>
    <col min="8198" max="8198" width="10.140625" customWidth="1"/>
    <col min="8199" max="8200" width="9.28515625" bestFit="1" customWidth="1"/>
    <col min="8201" max="8201" width="8.28515625" bestFit="1" customWidth="1"/>
    <col min="8449" max="8449" width="14.140625" bestFit="1" customWidth="1"/>
    <col min="8450" max="8450" width="32.7109375" customWidth="1"/>
    <col min="8451" max="8451" width="12.140625" customWidth="1"/>
    <col min="8452" max="8452" width="9.85546875" bestFit="1" customWidth="1"/>
    <col min="8453" max="8453" width="9.28515625" bestFit="1" customWidth="1"/>
    <col min="8454" max="8454" width="10.140625" customWidth="1"/>
    <col min="8455" max="8456" width="9.28515625" bestFit="1" customWidth="1"/>
    <col min="8457" max="8457" width="8.28515625" bestFit="1" customWidth="1"/>
    <col min="8705" max="8705" width="14.140625" bestFit="1" customWidth="1"/>
    <col min="8706" max="8706" width="32.7109375" customWidth="1"/>
    <col min="8707" max="8707" width="12.140625" customWidth="1"/>
    <col min="8708" max="8708" width="9.85546875" bestFit="1" customWidth="1"/>
    <col min="8709" max="8709" width="9.28515625" bestFit="1" customWidth="1"/>
    <col min="8710" max="8710" width="10.140625" customWidth="1"/>
    <col min="8711" max="8712" width="9.28515625" bestFit="1" customWidth="1"/>
    <col min="8713" max="8713" width="8.28515625" bestFit="1" customWidth="1"/>
    <col min="8961" max="8961" width="14.140625" bestFit="1" customWidth="1"/>
    <col min="8962" max="8962" width="32.7109375" customWidth="1"/>
    <col min="8963" max="8963" width="12.140625" customWidth="1"/>
    <col min="8964" max="8964" width="9.85546875" bestFit="1" customWidth="1"/>
    <col min="8965" max="8965" width="9.28515625" bestFit="1" customWidth="1"/>
    <col min="8966" max="8966" width="10.140625" customWidth="1"/>
    <col min="8967" max="8968" width="9.28515625" bestFit="1" customWidth="1"/>
    <col min="8969" max="8969" width="8.28515625" bestFit="1" customWidth="1"/>
    <col min="9217" max="9217" width="14.140625" bestFit="1" customWidth="1"/>
    <col min="9218" max="9218" width="32.7109375" customWidth="1"/>
    <col min="9219" max="9219" width="12.140625" customWidth="1"/>
    <col min="9220" max="9220" width="9.85546875" bestFit="1" customWidth="1"/>
    <col min="9221" max="9221" width="9.28515625" bestFit="1" customWidth="1"/>
    <col min="9222" max="9222" width="10.140625" customWidth="1"/>
    <col min="9223" max="9224" width="9.28515625" bestFit="1" customWidth="1"/>
    <col min="9225" max="9225" width="8.28515625" bestFit="1" customWidth="1"/>
    <col min="9473" max="9473" width="14.140625" bestFit="1" customWidth="1"/>
    <col min="9474" max="9474" width="32.7109375" customWidth="1"/>
    <col min="9475" max="9475" width="12.140625" customWidth="1"/>
    <col min="9476" max="9476" width="9.85546875" bestFit="1" customWidth="1"/>
    <col min="9477" max="9477" width="9.28515625" bestFit="1" customWidth="1"/>
    <col min="9478" max="9478" width="10.140625" customWidth="1"/>
    <col min="9479" max="9480" width="9.28515625" bestFit="1" customWidth="1"/>
    <col min="9481" max="9481" width="8.28515625" bestFit="1" customWidth="1"/>
    <col min="9729" max="9729" width="14.140625" bestFit="1" customWidth="1"/>
    <col min="9730" max="9730" width="32.7109375" customWidth="1"/>
    <col min="9731" max="9731" width="12.140625" customWidth="1"/>
    <col min="9732" max="9732" width="9.85546875" bestFit="1" customWidth="1"/>
    <col min="9733" max="9733" width="9.28515625" bestFit="1" customWidth="1"/>
    <col min="9734" max="9734" width="10.140625" customWidth="1"/>
    <col min="9735" max="9736" width="9.28515625" bestFit="1" customWidth="1"/>
    <col min="9737" max="9737" width="8.28515625" bestFit="1" customWidth="1"/>
    <col min="9985" max="9985" width="14.140625" bestFit="1" customWidth="1"/>
    <col min="9986" max="9986" width="32.7109375" customWidth="1"/>
    <col min="9987" max="9987" width="12.140625" customWidth="1"/>
    <col min="9988" max="9988" width="9.85546875" bestFit="1" customWidth="1"/>
    <col min="9989" max="9989" width="9.28515625" bestFit="1" customWidth="1"/>
    <col min="9990" max="9990" width="10.140625" customWidth="1"/>
    <col min="9991" max="9992" width="9.28515625" bestFit="1" customWidth="1"/>
    <col min="9993" max="9993" width="8.28515625" bestFit="1" customWidth="1"/>
    <col min="10241" max="10241" width="14.140625" bestFit="1" customWidth="1"/>
    <col min="10242" max="10242" width="32.7109375" customWidth="1"/>
    <col min="10243" max="10243" width="12.140625" customWidth="1"/>
    <col min="10244" max="10244" width="9.85546875" bestFit="1" customWidth="1"/>
    <col min="10245" max="10245" width="9.28515625" bestFit="1" customWidth="1"/>
    <col min="10246" max="10246" width="10.140625" customWidth="1"/>
    <col min="10247" max="10248" width="9.28515625" bestFit="1" customWidth="1"/>
    <col min="10249" max="10249" width="8.28515625" bestFit="1" customWidth="1"/>
    <col min="10497" max="10497" width="14.140625" bestFit="1" customWidth="1"/>
    <col min="10498" max="10498" width="32.7109375" customWidth="1"/>
    <col min="10499" max="10499" width="12.140625" customWidth="1"/>
    <col min="10500" max="10500" width="9.85546875" bestFit="1" customWidth="1"/>
    <col min="10501" max="10501" width="9.28515625" bestFit="1" customWidth="1"/>
    <col min="10502" max="10502" width="10.140625" customWidth="1"/>
    <col min="10503" max="10504" width="9.28515625" bestFit="1" customWidth="1"/>
    <col min="10505" max="10505" width="8.28515625" bestFit="1" customWidth="1"/>
    <col min="10753" max="10753" width="14.140625" bestFit="1" customWidth="1"/>
    <col min="10754" max="10754" width="32.7109375" customWidth="1"/>
    <col min="10755" max="10755" width="12.140625" customWidth="1"/>
    <col min="10756" max="10756" width="9.85546875" bestFit="1" customWidth="1"/>
    <col min="10757" max="10757" width="9.28515625" bestFit="1" customWidth="1"/>
    <col min="10758" max="10758" width="10.140625" customWidth="1"/>
    <col min="10759" max="10760" width="9.28515625" bestFit="1" customWidth="1"/>
    <col min="10761" max="10761" width="8.28515625" bestFit="1" customWidth="1"/>
    <col min="11009" max="11009" width="14.140625" bestFit="1" customWidth="1"/>
    <col min="11010" max="11010" width="32.7109375" customWidth="1"/>
    <col min="11011" max="11011" width="12.140625" customWidth="1"/>
    <col min="11012" max="11012" width="9.85546875" bestFit="1" customWidth="1"/>
    <col min="11013" max="11013" width="9.28515625" bestFit="1" customWidth="1"/>
    <col min="11014" max="11014" width="10.140625" customWidth="1"/>
    <col min="11015" max="11016" width="9.28515625" bestFit="1" customWidth="1"/>
    <col min="11017" max="11017" width="8.28515625" bestFit="1" customWidth="1"/>
    <col min="11265" max="11265" width="14.140625" bestFit="1" customWidth="1"/>
    <col min="11266" max="11266" width="32.7109375" customWidth="1"/>
    <col min="11267" max="11267" width="12.140625" customWidth="1"/>
    <col min="11268" max="11268" width="9.85546875" bestFit="1" customWidth="1"/>
    <col min="11269" max="11269" width="9.28515625" bestFit="1" customWidth="1"/>
    <col min="11270" max="11270" width="10.140625" customWidth="1"/>
    <col min="11271" max="11272" width="9.28515625" bestFit="1" customWidth="1"/>
    <col min="11273" max="11273" width="8.28515625" bestFit="1" customWidth="1"/>
    <col min="11521" max="11521" width="14.140625" bestFit="1" customWidth="1"/>
    <col min="11522" max="11522" width="32.7109375" customWidth="1"/>
    <col min="11523" max="11523" width="12.140625" customWidth="1"/>
    <col min="11524" max="11524" width="9.85546875" bestFit="1" customWidth="1"/>
    <col min="11525" max="11525" width="9.28515625" bestFit="1" customWidth="1"/>
    <col min="11526" max="11526" width="10.140625" customWidth="1"/>
    <col min="11527" max="11528" width="9.28515625" bestFit="1" customWidth="1"/>
    <col min="11529" max="11529" width="8.28515625" bestFit="1" customWidth="1"/>
    <col min="11777" max="11777" width="14.140625" bestFit="1" customWidth="1"/>
    <col min="11778" max="11778" width="32.7109375" customWidth="1"/>
    <col min="11779" max="11779" width="12.140625" customWidth="1"/>
    <col min="11780" max="11780" width="9.85546875" bestFit="1" customWidth="1"/>
    <col min="11781" max="11781" width="9.28515625" bestFit="1" customWidth="1"/>
    <col min="11782" max="11782" width="10.140625" customWidth="1"/>
    <col min="11783" max="11784" width="9.28515625" bestFit="1" customWidth="1"/>
    <col min="11785" max="11785" width="8.28515625" bestFit="1" customWidth="1"/>
    <col min="12033" max="12033" width="14.140625" bestFit="1" customWidth="1"/>
    <col min="12034" max="12034" width="32.7109375" customWidth="1"/>
    <col min="12035" max="12035" width="12.140625" customWidth="1"/>
    <col min="12036" max="12036" width="9.85546875" bestFit="1" customWidth="1"/>
    <col min="12037" max="12037" width="9.28515625" bestFit="1" customWidth="1"/>
    <col min="12038" max="12038" width="10.140625" customWidth="1"/>
    <col min="12039" max="12040" width="9.28515625" bestFit="1" customWidth="1"/>
    <col min="12041" max="12041" width="8.28515625" bestFit="1" customWidth="1"/>
    <col min="12289" max="12289" width="14.140625" bestFit="1" customWidth="1"/>
    <col min="12290" max="12290" width="32.7109375" customWidth="1"/>
    <col min="12291" max="12291" width="12.140625" customWidth="1"/>
    <col min="12292" max="12292" width="9.85546875" bestFit="1" customWidth="1"/>
    <col min="12293" max="12293" width="9.28515625" bestFit="1" customWidth="1"/>
    <col min="12294" max="12294" width="10.140625" customWidth="1"/>
    <col min="12295" max="12296" width="9.28515625" bestFit="1" customWidth="1"/>
    <col min="12297" max="12297" width="8.28515625" bestFit="1" customWidth="1"/>
    <col min="12545" max="12545" width="14.140625" bestFit="1" customWidth="1"/>
    <col min="12546" max="12546" width="32.7109375" customWidth="1"/>
    <col min="12547" max="12547" width="12.140625" customWidth="1"/>
    <col min="12548" max="12548" width="9.85546875" bestFit="1" customWidth="1"/>
    <col min="12549" max="12549" width="9.28515625" bestFit="1" customWidth="1"/>
    <col min="12550" max="12550" width="10.140625" customWidth="1"/>
    <col min="12551" max="12552" width="9.28515625" bestFit="1" customWidth="1"/>
    <col min="12553" max="12553" width="8.28515625" bestFit="1" customWidth="1"/>
    <col min="12801" max="12801" width="14.140625" bestFit="1" customWidth="1"/>
    <col min="12802" max="12802" width="32.7109375" customWidth="1"/>
    <col min="12803" max="12803" width="12.140625" customWidth="1"/>
    <col min="12804" max="12804" width="9.85546875" bestFit="1" customWidth="1"/>
    <col min="12805" max="12805" width="9.28515625" bestFit="1" customWidth="1"/>
    <col min="12806" max="12806" width="10.140625" customWidth="1"/>
    <col min="12807" max="12808" width="9.28515625" bestFit="1" customWidth="1"/>
    <col min="12809" max="12809" width="8.28515625" bestFit="1" customWidth="1"/>
    <col min="13057" max="13057" width="14.140625" bestFit="1" customWidth="1"/>
    <col min="13058" max="13058" width="32.7109375" customWidth="1"/>
    <col min="13059" max="13059" width="12.140625" customWidth="1"/>
    <col min="13060" max="13060" width="9.85546875" bestFit="1" customWidth="1"/>
    <col min="13061" max="13061" width="9.28515625" bestFit="1" customWidth="1"/>
    <col min="13062" max="13062" width="10.140625" customWidth="1"/>
    <col min="13063" max="13064" width="9.28515625" bestFit="1" customWidth="1"/>
    <col min="13065" max="13065" width="8.28515625" bestFit="1" customWidth="1"/>
    <col min="13313" max="13313" width="14.140625" bestFit="1" customWidth="1"/>
    <col min="13314" max="13314" width="32.7109375" customWidth="1"/>
    <col min="13315" max="13315" width="12.140625" customWidth="1"/>
    <col min="13316" max="13316" width="9.85546875" bestFit="1" customWidth="1"/>
    <col min="13317" max="13317" width="9.28515625" bestFit="1" customWidth="1"/>
    <col min="13318" max="13318" width="10.140625" customWidth="1"/>
    <col min="13319" max="13320" width="9.28515625" bestFit="1" customWidth="1"/>
    <col min="13321" max="13321" width="8.28515625" bestFit="1" customWidth="1"/>
    <col min="13569" max="13569" width="14.140625" bestFit="1" customWidth="1"/>
    <col min="13570" max="13570" width="32.7109375" customWidth="1"/>
    <col min="13571" max="13571" width="12.140625" customWidth="1"/>
    <col min="13572" max="13572" width="9.85546875" bestFit="1" customWidth="1"/>
    <col min="13573" max="13573" width="9.28515625" bestFit="1" customWidth="1"/>
    <col min="13574" max="13574" width="10.140625" customWidth="1"/>
    <col min="13575" max="13576" width="9.28515625" bestFit="1" customWidth="1"/>
    <col min="13577" max="13577" width="8.28515625" bestFit="1" customWidth="1"/>
    <col min="13825" max="13825" width="14.140625" bestFit="1" customWidth="1"/>
    <col min="13826" max="13826" width="32.7109375" customWidth="1"/>
    <col min="13827" max="13827" width="12.140625" customWidth="1"/>
    <col min="13828" max="13828" width="9.85546875" bestFit="1" customWidth="1"/>
    <col min="13829" max="13829" width="9.28515625" bestFit="1" customWidth="1"/>
    <col min="13830" max="13830" width="10.140625" customWidth="1"/>
    <col min="13831" max="13832" width="9.28515625" bestFit="1" customWidth="1"/>
    <col min="13833" max="13833" width="8.28515625" bestFit="1" customWidth="1"/>
    <col min="14081" max="14081" width="14.140625" bestFit="1" customWidth="1"/>
    <col min="14082" max="14082" width="32.7109375" customWidth="1"/>
    <col min="14083" max="14083" width="12.140625" customWidth="1"/>
    <col min="14084" max="14084" width="9.85546875" bestFit="1" customWidth="1"/>
    <col min="14085" max="14085" width="9.28515625" bestFit="1" customWidth="1"/>
    <col min="14086" max="14086" width="10.140625" customWidth="1"/>
    <col min="14087" max="14088" width="9.28515625" bestFit="1" customWidth="1"/>
    <col min="14089" max="14089" width="8.28515625" bestFit="1" customWidth="1"/>
    <col min="14337" max="14337" width="14.140625" bestFit="1" customWidth="1"/>
    <col min="14338" max="14338" width="32.7109375" customWidth="1"/>
    <col min="14339" max="14339" width="12.140625" customWidth="1"/>
    <col min="14340" max="14340" width="9.85546875" bestFit="1" customWidth="1"/>
    <col min="14341" max="14341" width="9.28515625" bestFit="1" customWidth="1"/>
    <col min="14342" max="14342" width="10.140625" customWidth="1"/>
    <col min="14343" max="14344" width="9.28515625" bestFit="1" customWidth="1"/>
    <col min="14345" max="14345" width="8.28515625" bestFit="1" customWidth="1"/>
    <col min="14593" max="14593" width="14.140625" bestFit="1" customWidth="1"/>
    <col min="14594" max="14594" width="32.7109375" customWidth="1"/>
    <col min="14595" max="14595" width="12.140625" customWidth="1"/>
    <col min="14596" max="14596" width="9.85546875" bestFit="1" customWidth="1"/>
    <col min="14597" max="14597" width="9.28515625" bestFit="1" customWidth="1"/>
    <col min="14598" max="14598" width="10.140625" customWidth="1"/>
    <col min="14599" max="14600" width="9.28515625" bestFit="1" customWidth="1"/>
    <col min="14601" max="14601" width="8.28515625" bestFit="1" customWidth="1"/>
    <col min="14849" max="14849" width="14.140625" bestFit="1" customWidth="1"/>
    <col min="14850" max="14850" width="32.7109375" customWidth="1"/>
    <col min="14851" max="14851" width="12.140625" customWidth="1"/>
    <col min="14852" max="14852" width="9.85546875" bestFit="1" customWidth="1"/>
    <col min="14853" max="14853" width="9.28515625" bestFit="1" customWidth="1"/>
    <col min="14854" max="14854" width="10.140625" customWidth="1"/>
    <col min="14855" max="14856" width="9.28515625" bestFit="1" customWidth="1"/>
    <col min="14857" max="14857" width="8.28515625" bestFit="1" customWidth="1"/>
    <col min="15105" max="15105" width="14.140625" bestFit="1" customWidth="1"/>
    <col min="15106" max="15106" width="32.7109375" customWidth="1"/>
    <col min="15107" max="15107" width="12.140625" customWidth="1"/>
    <col min="15108" max="15108" width="9.85546875" bestFit="1" customWidth="1"/>
    <col min="15109" max="15109" width="9.28515625" bestFit="1" customWidth="1"/>
    <col min="15110" max="15110" width="10.140625" customWidth="1"/>
    <col min="15111" max="15112" width="9.28515625" bestFit="1" customWidth="1"/>
    <col min="15113" max="15113" width="8.28515625" bestFit="1" customWidth="1"/>
    <col min="15361" max="15361" width="14.140625" bestFit="1" customWidth="1"/>
    <col min="15362" max="15362" width="32.7109375" customWidth="1"/>
    <col min="15363" max="15363" width="12.140625" customWidth="1"/>
    <col min="15364" max="15364" width="9.85546875" bestFit="1" customWidth="1"/>
    <col min="15365" max="15365" width="9.28515625" bestFit="1" customWidth="1"/>
    <col min="15366" max="15366" width="10.140625" customWidth="1"/>
    <col min="15367" max="15368" width="9.28515625" bestFit="1" customWidth="1"/>
    <col min="15369" max="15369" width="8.28515625" bestFit="1" customWidth="1"/>
    <col min="15617" max="15617" width="14.140625" bestFit="1" customWidth="1"/>
    <col min="15618" max="15618" width="32.7109375" customWidth="1"/>
    <col min="15619" max="15619" width="12.140625" customWidth="1"/>
    <col min="15620" max="15620" width="9.85546875" bestFit="1" customWidth="1"/>
    <col min="15621" max="15621" width="9.28515625" bestFit="1" customWidth="1"/>
    <col min="15622" max="15622" width="10.140625" customWidth="1"/>
    <col min="15623" max="15624" width="9.28515625" bestFit="1" customWidth="1"/>
    <col min="15625" max="15625" width="8.28515625" bestFit="1" customWidth="1"/>
    <col min="15873" max="15873" width="14.140625" bestFit="1" customWidth="1"/>
    <col min="15874" max="15874" width="32.7109375" customWidth="1"/>
    <col min="15875" max="15875" width="12.140625" customWidth="1"/>
    <col min="15876" max="15876" width="9.85546875" bestFit="1" customWidth="1"/>
    <col min="15877" max="15877" width="9.28515625" bestFit="1" customWidth="1"/>
    <col min="15878" max="15878" width="10.140625" customWidth="1"/>
    <col min="15879" max="15880" width="9.28515625" bestFit="1" customWidth="1"/>
    <col min="15881" max="15881" width="8.28515625" bestFit="1" customWidth="1"/>
    <col min="16129" max="16129" width="14.140625" bestFit="1" customWidth="1"/>
    <col min="16130" max="16130" width="32.7109375" customWidth="1"/>
    <col min="16131" max="16131" width="12.140625" customWidth="1"/>
    <col min="16132" max="16132" width="9.85546875" bestFit="1" customWidth="1"/>
    <col min="16133" max="16133" width="9.28515625" bestFit="1" customWidth="1"/>
    <col min="16134" max="16134" width="10.140625" customWidth="1"/>
    <col min="16135" max="16136" width="9.28515625" bestFit="1" customWidth="1"/>
    <col min="16137" max="16137" width="8.28515625" bestFit="1" customWidth="1"/>
  </cols>
  <sheetData>
    <row r="1" spans="1:17">
      <c r="A1" s="597" t="s">
        <v>134</v>
      </c>
      <c r="B1" s="597"/>
      <c r="C1" s="597"/>
      <c r="D1" s="597"/>
      <c r="E1" s="597"/>
      <c r="F1" s="597"/>
      <c r="G1" s="597"/>
      <c r="H1" s="597"/>
      <c r="I1" s="597"/>
    </row>
    <row r="4" spans="1:17" s="88" customFormat="1" ht="10.5" customHeight="1">
      <c r="I4" s="89"/>
      <c r="M4" s="87"/>
      <c r="N4" s="87"/>
      <c r="O4" s="87"/>
      <c r="P4" s="87"/>
      <c r="Q4" s="87"/>
    </row>
    <row r="5" spans="1:17" s="88" customFormat="1" ht="36">
      <c r="A5" s="598">
        <v>42277</v>
      </c>
      <c r="B5" s="599"/>
      <c r="C5" s="129"/>
      <c r="D5" s="128" t="s">
        <v>133</v>
      </c>
      <c r="E5" s="128" t="s">
        <v>132</v>
      </c>
      <c r="F5" s="128" t="s">
        <v>131</v>
      </c>
      <c r="G5" s="128" t="s">
        <v>130</v>
      </c>
      <c r="H5" s="128" t="s">
        <v>129</v>
      </c>
      <c r="I5" s="127" t="s">
        <v>128</v>
      </c>
      <c r="M5" s="87"/>
      <c r="N5" s="87"/>
      <c r="O5" s="87"/>
      <c r="P5" s="87"/>
      <c r="Q5" s="87"/>
    </row>
    <row r="6" spans="1:17" s="88" customFormat="1">
      <c r="A6" s="124" t="s">
        <v>127</v>
      </c>
      <c r="B6" s="124"/>
      <c r="C6" s="124"/>
      <c r="D6" s="126">
        <v>59</v>
      </c>
      <c r="E6" s="126">
        <f>16+21</f>
        <v>37</v>
      </c>
      <c r="F6" s="126">
        <v>3</v>
      </c>
      <c r="G6" s="126">
        <v>60</v>
      </c>
      <c r="H6" s="125">
        <f>SUM(D6:G6)</f>
        <v>159</v>
      </c>
      <c r="I6" s="119"/>
      <c r="M6" s="87"/>
      <c r="N6" s="87"/>
      <c r="O6" s="87"/>
      <c r="P6" s="87"/>
      <c r="Q6" s="87"/>
    </row>
    <row r="7" spans="1:17" s="88" customFormat="1">
      <c r="A7" s="124" t="s">
        <v>126</v>
      </c>
      <c r="B7" s="124"/>
      <c r="C7" s="124"/>
      <c r="D7" s="95">
        <f>D6/H6</f>
        <v>0.37106918238993708</v>
      </c>
      <c r="E7" s="95">
        <f>E6/H6</f>
        <v>0.23270440251572327</v>
      </c>
      <c r="F7" s="95">
        <f>F6/H6</f>
        <v>1.8867924528301886E-2</v>
      </c>
      <c r="G7" s="95">
        <f>G6/H6</f>
        <v>0.37735849056603776</v>
      </c>
      <c r="H7" s="120">
        <f>SUM(D7:G7)</f>
        <v>1</v>
      </c>
      <c r="I7" s="119"/>
      <c r="M7" s="87"/>
      <c r="N7" s="87"/>
      <c r="O7" s="87"/>
      <c r="P7" s="87"/>
      <c r="Q7" s="87"/>
    </row>
    <row r="8" spans="1:17" s="88" customFormat="1" ht="25.5">
      <c r="A8" s="123" t="s">
        <v>125</v>
      </c>
      <c r="B8" s="122" t="s">
        <v>124</v>
      </c>
      <c r="C8" s="121" t="s">
        <v>123</v>
      </c>
      <c r="D8" s="95"/>
      <c r="E8" s="95"/>
      <c r="F8" s="95"/>
      <c r="G8" s="95"/>
      <c r="H8" s="120"/>
      <c r="I8" s="119"/>
      <c r="M8" s="87"/>
      <c r="N8" s="87"/>
      <c r="O8" s="87"/>
      <c r="P8" s="87"/>
      <c r="Q8" s="87"/>
    </row>
    <row r="9" spans="1:17" s="88" customFormat="1">
      <c r="A9" s="118" t="s">
        <v>122</v>
      </c>
      <c r="B9" s="111" t="s">
        <v>116</v>
      </c>
      <c r="C9" s="117">
        <v>40000</v>
      </c>
      <c r="D9" s="116">
        <f t="shared" ref="D9:D14" si="0">C9-I9</f>
        <v>14843</v>
      </c>
      <c r="E9" s="115">
        <f>ROUND(C9*E7,0)</f>
        <v>9308</v>
      </c>
      <c r="F9" s="115">
        <f>ROUND(C9*F7,0)</f>
        <v>755</v>
      </c>
      <c r="G9" s="115">
        <f>ROUND(C9*G7,0)</f>
        <v>15094</v>
      </c>
      <c r="H9" s="115">
        <f t="shared" ref="H9:H15" si="1">SUM(D9:G9)</f>
        <v>40000</v>
      </c>
      <c r="I9" s="114">
        <f t="shared" ref="I9:I15" si="2">SUM(E9:G9)</f>
        <v>25157</v>
      </c>
      <c r="M9" s="87"/>
      <c r="N9" s="87"/>
      <c r="O9" s="87"/>
      <c r="P9" s="87"/>
      <c r="Q9" s="87"/>
    </row>
    <row r="10" spans="1:17" s="88" customFormat="1">
      <c r="A10" s="112" t="s">
        <v>121</v>
      </c>
      <c r="B10" s="111" t="s">
        <v>116</v>
      </c>
      <c r="C10" s="113">
        <v>50000</v>
      </c>
      <c r="D10" s="109">
        <f t="shared" si="0"/>
        <v>18554</v>
      </c>
      <c r="E10" s="108">
        <f>ROUND(C10*E7,0)</f>
        <v>11635</v>
      </c>
      <c r="F10" s="108">
        <f>ROUND(C10*F7,0)</f>
        <v>943</v>
      </c>
      <c r="G10" s="108">
        <f>ROUND(C10*G7,0)</f>
        <v>18868</v>
      </c>
      <c r="H10" s="108">
        <f t="shared" si="1"/>
        <v>50000</v>
      </c>
      <c r="I10" s="107">
        <f t="shared" si="2"/>
        <v>31446</v>
      </c>
      <c r="M10" s="87"/>
      <c r="N10" s="87"/>
      <c r="O10" s="87"/>
      <c r="P10" s="87"/>
      <c r="Q10" s="87"/>
    </row>
    <row r="11" spans="1:17" s="88" customFormat="1">
      <c r="A11" s="112" t="s">
        <v>120</v>
      </c>
      <c r="B11" s="111" t="s">
        <v>116</v>
      </c>
      <c r="C11" s="113">
        <v>20000</v>
      </c>
      <c r="D11" s="109">
        <f t="shared" si="0"/>
        <v>7422</v>
      </c>
      <c r="E11" s="108">
        <f>ROUND(C11*E7,0)</f>
        <v>4654</v>
      </c>
      <c r="F11" s="108">
        <f>ROUND(C11*F7,0)</f>
        <v>377</v>
      </c>
      <c r="G11" s="108">
        <f>ROUND(C11*G7,0)</f>
        <v>7547</v>
      </c>
      <c r="H11" s="108">
        <f t="shared" si="1"/>
        <v>20000</v>
      </c>
      <c r="I11" s="107">
        <f t="shared" si="2"/>
        <v>12578</v>
      </c>
      <c r="M11" s="87"/>
      <c r="N11" s="87"/>
      <c r="O11" s="87"/>
      <c r="P11" s="87"/>
      <c r="Q11" s="87"/>
    </row>
    <row r="12" spans="1:17" s="88" customFormat="1">
      <c r="A12" s="112" t="s">
        <v>119</v>
      </c>
      <c r="B12" s="111" t="s">
        <v>116</v>
      </c>
      <c r="C12" s="110">
        <v>550000</v>
      </c>
      <c r="D12" s="109">
        <f t="shared" si="0"/>
        <v>204089</v>
      </c>
      <c r="E12" s="108">
        <f>ROUND(C12*E7,0)</f>
        <v>127987</v>
      </c>
      <c r="F12" s="108">
        <f>ROUND(C12*F7,0)</f>
        <v>10377</v>
      </c>
      <c r="G12" s="108">
        <f>ROUND(C12*G7,0)</f>
        <v>207547</v>
      </c>
      <c r="H12" s="108">
        <f t="shared" si="1"/>
        <v>550000</v>
      </c>
      <c r="I12" s="107">
        <f t="shared" si="2"/>
        <v>345911</v>
      </c>
      <c r="M12" s="87"/>
      <c r="N12" s="87"/>
      <c r="O12" s="87"/>
      <c r="P12" s="87"/>
      <c r="Q12" s="87"/>
    </row>
    <row r="13" spans="1:17" s="88" customFormat="1">
      <c r="A13" s="112" t="s">
        <v>118</v>
      </c>
      <c r="B13" s="111" t="s">
        <v>116</v>
      </c>
      <c r="C13" s="110">
        <v>550000</v>
      </c>
      <c r="D13" s="109">
        <f t="shared" si="0"/>
        <v>204089</v>
      </c>
      <c r="E13" s="108">
        <f>ROUND(C13*E7,0)</f>
        <v>127987</v>
      </c>
      <c r="F13" s="108">
        <f>ROUND(C13*F7,0)</f>
        <v>10377</v>
      </c>
      <c r="G13" s="108">
        <f>ROUND(C13*G7,0)</f>
        <v>207547</v>
      </c>
      <c r="H13" s="108">
        <f t="shared" si="1"/>
        <v>550000</v>
      </c>
      <c r="I13" s="107">
        <f t="shared" si="2"/>
        <v>345911</v>
      </c>
      <c r="M13" s="87"/>
      <c r="N13" s="87"/>
      <c r="O13" s="87"/>
      <c r="P13" s="87"/>
      <c r="Q13" s="87"/>
    </row>
    <row r="14" spans="1:17" s="88" customFormat="1">
      <c r="A14" s="112" t="s">
        <v>117</v>
      </c>
      <c r="B14" s="111" t="s">
        <v>116</v>
      </c>
      <c r="C14" s="110">
        <v>130000</v>
      </c>
      <c r="D14" s="109">
        <f t="shared" si="0"/>
        <v>48238</v>
      </c>
      <c r="E14" s="108">
        <f>ROUND(C14*E7,0)</f>
        <v>30252</v>
      </c>
      <c r="F14" s="108">
        <f>ROUND(C14*F7,0)</f>
        <v>2453</v>
      </c>
      <c r="G14" s="108">
        <f>ROUND(C14*G7,0)</f>
        <v>49057</v>
      </c>
      <c r="H14" s="108">
        <f t="shared" si="1"/>
        <v>130000</v>
      </c>
      <c r="I14" s="107">
        <f t="shared" si="2"/>
        <v>81762</v>
      </c>
      <c r="M14" s="87"/>
      <c r="N14" s="87"/>
      <c r="O14" s="87"/>
      <c r="P14" s="87"/>
      <c r="Q14" s="87"/>
    </row>
    <row r="15" spans="1:17" s="88" customFormat="1">
      <c r="A15" s="106" t="s">
        <v>115</v>
      </c>
      <c r="B15" s="106"/>
      <c r="C15" s="105">
        <f>SUM(C9:C14)</f>
        <v>1340000</v>
      </c>
      <c r="D15" s="104">
        <f>SUM(D9:D14)</f>
        <v>497235</v>
      </c>
      <c r="E15" s="104">
        <f>SUM(E9:E14)</f>
        <v>311823</v>
      </c>
      <c r="F15" s="104">
        <f>SUM(F9:F14)</f>
        <v>25282</v>
      </c>
      <c r="G15" s="104">
        <f>SUM(G9:G14)</f>
        <v>505660</v>
      </c>
      <c r="H15" s="104">
        <f t="shared" si="1"/>
        <v>1340000</v>
      </c>
      <c r="I15" s="103">
        <f t="shared" si="2"/>
        <v>842765</v>
      </c>
      <c r="M15" s="87"/>
      <c r="N15" s="87"/>
      <c r="O15" s="87"/>
      <c r="P15" s="87"/>
      <c r="Q15" s="87"/>
    </row>
    <row r="17" spans="1:10">
      <c r="A17" s="102" t="s">
        <v>114</v>
      </c>
      <c r="B17" s="100"/>
      <c r="C17" s="101">
        <f>3553960+703548</f>
        <v>4257508</v>
      </c>
      <c r="D17" s="100"/>
      <c r="E17" s="99">
        <f>16+21</f>
        <v>37</v>
      </c>
      <c r="F17" s="99">
        <v>3</v>
      </c>
      <c r="G17" s="99">
        <v>60</v>
      </c>
      <c r="H17" s="98">
        <f>SUM(D17:G17)</f>
        <v>100</v>
      </c>
    </row>
    <row r="18" spans="1:10">
      <c r="A18" s="97"/>
      <c r="B18" s="96"/>
      <c r="C18" s="96"/>
      <c r="D18" s="96"/>
      <c r="E18" s="95">
        <f>E17/H17</f>
        <v>0.37</v>
      </c>
      <c r="F18" s="95">
        <f>F17/H17</f>
        <v>0.03</v>
      </c>
      <c r="G18" s="95">
        <f>G17/H17</f>
        <v>0.6</v>
      </c>
      <c r="H18" s="94">
        <f>SUM(D18:G18)</f>
        <v>1</v>
      </c>
    </row>
    <row r="19" spans="1:10">
      <c r="A19" s="93"/>
      <c r="B19" s="92"/>
      <c r="C19" s="92"/>
      <c r="D19" s="92"/>
      <c r="E19" s="91">
        <f>$C$17*E18</f>
        <v>1575277.96</v>
      </c>
      <c r="F19" s="91">
        <f>$C$17*F18</f>
        <v>127725.23999999999</v>
      </c>
      <c r="G19" s="91">
        <f>$C$17*G18</f>
        <v>2554504.7999999998</v>
      </c>
      <c r="H19" s="90">
        <f>SUM(E19:G19)</f>
        <v>4257508</v>
      </c>
      <c r="J19" s="88">
        <f>+E19/4</f>
        <v>393819.49</v>
      </c>
    </row>
  </sheetData>
  <mergeCells count="2">
    <mergeCell ref="A1:I1"/>
    <mergeCell ref="A5:B5"/>
  </mergeCells>
  <pageMargins left="0.74803149606299213" right="0.39370078740157483" top="0.62992125984251968" bottom="0.6692913385826772" header="0.51181102362204722" footer="0.51181102362204722"/>
  <pageSetup paperSize="9" scale="75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zoomScaleNormal="100" workbookViewId="0">
      <selection activeCell="I6" sqref="I6"/>
    </sheetView>
  </sheetViews>
  <sheetFormatPr defaultRowHeight="15"/>
  <cols>
    <col min="1" max="1" width="16.7109375" style="156" customWidth="1"/>
    <col min="2" max="2" width="12.85546875" style="156" customWidth="1"/>
    <col min="3" max="3" width="12" style="156" customWidth="1"/>
    <col min="4" max="4" width="15" style="156" customWidth="1"/>
    <col min="5" max="5" width="13.85546875" style="57" customWidth="1"/>
    <col min="6" max="6" width="13.42578125" style="156" bestFit="1" customWidth="1"/>
    <col min="7" max="7" width="10.85546875" bestFit="1" customWidth="1"/>
    <col min="8" max="8" width="19.42578125" style="225" bestFit="1" customWidth="1"/>
    <col min="9" max="9" width="11.7109375" bestFit="1" customWidth="1"/>
  </cols>
  <sheetData>
    <row r="1" spans="1:9" s="17" customFormat="1" ht="23.25" customHeight="1">
      <c r="A1" s="653" t="s">
        <v>189</v>
      </c>
      <c r="B1" s="653"/>
      <c r="C1" s="653"/>
      <c r="D1" s="653"/>
      <c r="E1" s="653"/>
      <c r="F1" s="653"/>
      <c r="H1" s="226"/>
    </row>
    <row r="2" spans="1:9" s="219" customFormat="1" ht="16.5" thickBot="1">
      <c r="A2" s="654" t="s">
        <v>188</v>
      </c>
      <c r="B2" s="654"/>
      <c r="C2" s="654"/>
      <c r="D2" s="211" t="s">
        <v>180</v>
      </c>
      <c r="E2" s="211" t="s">
        <v>179</v>
      </c>
      <c r="F2" s="220" t="s">
        <v>143</v>
      </c>
      <c r="H2" s="227" t="s">
        <v>187</v>
      </c>
      <c r="I2" s="216">
        <v>0.15</v>
      </c>
    </row>
    <row r="3" spans="1:9">
      <c r="A3" s="655" t="s">
        <v>186</v>
      </c>
      <c r="B3" s="656"/>
      <c r="C3" s="656"/>
      <c r="D3" s="218">
        <v>265</v>
      </c>
      <c r="E3" s="218">
        <v>175</v>
      </c>
      <c r="F3" s="217" t="s">
        <v>159</v>
      </c>
      <c r="H3" s="228" t="s">
        <v>185</v>
      </c>
      <c r="I3" s="216">
        <v>0.55000000000000004</v>
      </c>
    </row>
    <row r="4" spans="1:9">
      <c r="A4" s="657" t="s">
        <v>184</v>
      </c>
      <c r="B4" s="658"/>
      <c r="C4" s="658"/>
      <c r="D4" s="21">
        <f>250*10</f>
        <v>2500</v>
      </c>
      <c r="E4" s="21">
        <f>250*10</f>
        <v>2500</v>
      </c>
      <c r="F4" s="215" t="s">
        <v>159</v>
      </c>
    </row>
    <row r="5" spans="1:9">
      <c r="A5" s="659" t="s">
        <v>183</v>
      </c>
      <c r="B5" s="660"/>
      <c r="C5" s="660"/>
      <c r="D5" s="20">
        <f>D6+D7</f>
        <v>1006.2192787389008</v>
      </c>
      <c r="E5" s="20">
        <f>E6+E7</f>
        <v>10895.780721261101</v>
      </c>
      <c r="F5" s="184">
        <f>F6+F7</f>
        <v>11902.000000000002</v>
      </c>
    </row>
    <row r="6" spans="1:9">
      <c r="A6" s="659" t="s">
        <v>160</v>
      </c>
      <c r="B6" s="660"/>
      <c r="C6" s="660"/>
      <c r="D6" s="20">
        <f>+zónák!F6</f>
        <v>644.3293111013603</v>
      </c>
      <c r="E6" s="20">
        <f>+zónák!F7+zónák!F8+zónák!F9+zónák!F10+zónák!F11+zónák!F12</f>
        <v>10293.670688898641</v>
      </c>
      <c r="F6" s="184">
        <f>D6+E6</f>
        <v>10938.000000000002</v>
      </c>
    </row>
    <row r="7" spans="1:9" ht="15.75" thickBot="1">
      <c r="A7" s="661" t="s">
        <v>161</v>
      </c>
      <c r="B7" s="662"/>
      <c r="C7" s="662"/>
      <c r="D7" s="214">
        <f>+zónák!G6</f>
        <v>361.88996763754045</v>
      </c>
      <c r="E7" s="214">
        <f>+zónák!G7+zónák!G8+zónák!G9+zónák!G10+zónák!G11+zónák!G12</f>
        <v>602.11003236245949</v>
      </c>
      <c r="F7" s="213">
        <f>D7+E7</f>
        <v>964</v>
      </c>
    </row>
    <row r="8" spans="1:9" ht="15.75" thickBot="1">
      <c r="A8" s="212"/>
      <c r="B8" s="212"/>
      <c r="C8" s="212"/>
      <c r="D8" s="48"/>
      <c r="E8" s="48"/>
      <c r="F8" s="48"/>
    </row>
    <row r="9" spans="1:9" ht="23.25" customHeight="1" thickBot="1">
      <c r="A9" s="628" t="s">
        <v>182</v>
      </c>
      <c r="B9" s="629"/>
      <c r="C9" s="629"/>
      <c r="D9" s="629"/>
      <c r="E9" s="629"/>
      <c r="F9" s="630"/>
      <c r="H9" s="229"/>
    </row>
    <row r="10" spans="1:9" ht="15.75" customHeight="1" thickTop="1">
      <c r="A10" s="631" t="s">
        <v>181</v>
      </c>
      <c r="B10" s="632"/>
      <c r="C10" s="632"/>
      <c r="D10" s="632"/>
      <c r="E10" s="632"/>
      <c r="F10" s="633"/>
    </row>
    <row r="11" spans="1:9" s="209" customFormat="1" ht="15.75" customHeight="1" thickBot="1">
      <c r="A11" s="663" t="s">
        <v>166</v>
      </c>
      <c r="B11" s="664"/>
      <c r="C11" s="664"/>
      <c r="D11" s="211" t="s">
        <v>180</v>
      </c>
      <c r="E11" s="211" t="s">
        <v>179</v>
      </c>
      <c r="F11" s="210" t="s">
        <v>143</v>
      </c>
      <c r="H11" s="230"/>
    </row>
    <row r="12" spans="1:9" s="167" customFormat="1">
      <c r="A12" s="665" t="s">
        <v>160</v>
      </c>
      <c r="B12" s="666"/>
      <c r="C12" s="666"/>
      <c r="D12" s="208">
        <f>$D$3/127%*$D$4*D6*$I$2*$I$3</f>
        <v>27729625.125892695</v>
      </c>
      <c r="E12" s="208">
        <f>$E$3/127%*$E$4*E6*$I$2*$I$3</f>
        <v>292548957.8168782</v>
      </c>
      <c r="F12" s="207">
        <f>D12+E12</f>
        <v>320278582.9427709</v>
      </c>
      <c r="H12" s="225"/>
    </row>
    <row r="13" spans="1:9" s="167" customFormat="1" ht="15.75" thickBot="1">
      <c r="A13" s="651" t="s">
        <v>161</v>
      </c>
      <c r="B13" s="652"/>
      <c r="C13" s="652"/>
      <c r="D13" s="199">
        <f>$D$3/127%*$D$4*D7*$I$2*$I$3</f>
        <v>15574447.672196316</v>
      </c>
      <c r="E13" s="199">
        <f>$E$3/127%*$E$4*E7*$I$2*$I$3</f>
        <v>17112133.055576786</v>
      </c>
      <c r="F13" s="198">
        <f>D13+E13</f>
        <v>32686580.7277731</v>
      </c>
      <c r="H13" s="225"/>
    </row>
    <row r="14" spans="1:9" s="167" customFormat="1" ht="15.75" thickBot="1">
      <c r="A14" s="626" t="s">
        <v>143</v>
      </c>
      <c r="B14" s="627"/>
      <c r="C14" s="627"/>
      <c r="D14" s="197">
        <f>SUM(D12:D13)</f>
        <v>43304072.798089013</v>
      </c>
      <c r="E14" s="197">
        <f>SUM(E12:E13)</f>
        <v>309661090.872455</v>
      </c>
      <c r="F14" s="196">
        <f>SUM(F12:F13)</f>
        <v>352965163.67054403</v>
      </c>
      <c r="H14" s="225">
        <f>+F14/12</f>
        <v>29413763.639212001</v>
      </c>
    </row>
    <row r="15" spans="1:9" s="167" customFormat="1" ht="15.75" thickBot="1">
      <c r="A15" s="206"/>
      <c r="B15" s="205"/>
      <c r="C15" s="205"/>
      <c r="D15" s="204"/>
      <c r="E15" s="204"/>
      <c r="F15" s="203"/>
      <c r="H15" s="225"/>
      <c r="I15" s="193"/>
    </row>
    <row r="16" spans="1:9" s="167" customFormat="1" ht="15.75" thickBot="1">
      <c r="A16" s="628" t="s">
        <v>178</v>
      </c>
      <c r="B16" s="629"/>
      <c r="C16" s="629"/>
      <c r="D16" s="629"/>
      <c r="E16" s="629"/>
      <c r="F16" s="630"/>
      <c r="H16" s="225"/>
      <c r="I16" s="193"/>
    </row>
    <row r="17" spans="1:9" s="167" customFormat="1" ht="15.75" thickTop="1">
      <c r="A17" s="631" t="s">
        <v>177</v>
      </c>
      <c r="B17" s="632"/>
      <c r="C17" s="632"/>
      <c r="D17" s="632"/>
      <c r="E17" s="632"/>
      <c r="F17" s="633"/>
      <c r="H17" s="225"/>
      <c r="I17" s="193"/>
    </row>
    <row r="18" spans="1:9" s="167" customFormat="1">
      <c r="A18" s="634" t="s">
        <v>166</v>
      </c>
      <c r="B18" s="635"/>
      <c r="C18" s="635"/>
      <c r="D18" s="191" t="s">
        <v>165</v>
      </c>
      <c r="E18" s="190" t="s">
        <v>19</v>
      </c>
      <c r="F18" s="189" t="s">
        <v>164</v>
      </c>
      <c r="H18" s="225"/>
      <c r="I18" s="193"/>
    </row>
    <row r="19" spans="1:9" s="167" customFormat="1">
      <c r="A19" s="202" t="s">
        <v>160</v>
      </c>
      <c r="B19" s="200">
        <v>25000</v>
      </c>
      <c r="C19" s="199">
        <v>2000</v>
      </c>
      <c r="D19" s="199">
        <f>B19*C19</f>
        <v>50000000</v>
      </c>
      <c r="E19" s="199">
        <f>D19*0.27</f>
        <v>13500000</v>
      </c>
      <c r="F19" s="198">
        <f>D19+E19</f>
        <v>63500000</v>
      </c>
      <c r="H19" s="225"/>
      <c r="I19" s="193"/>
    </row>
    <row r="20" spans="1:9" s="167" customFormat="1" ht="15.75" thickBot="1">
      <c r="A20" s="201" t="s">
        <v>161</v>
      </c>
      <c r="B20" s="200">
        <v>5000</v>
      </c>
      <c r="C20" s="199">
        <v>2000</v>
      </c>
      <c r="D20" s="199">
        <f>B20*C20</f>
        <v>10000000</v>
      </c>
      <c r="E20" s="199">
        <f>D20*0.27</f>
        <v>2700000</v>
      </c>
      <c r="F20" s="198">
        <f>D20+E20</f>
        <v>12700000</v>
      </c>
      <c r="H20" s="225"/>
      <c r="I20" s="193"/>
    </row>
    <row r="21" spans="1:9" s="167" customFormat="1" ht="15.75" thickBot="1">
      <c r="A21" s="626" t="s">
        <v>143</v>
      </c>
      <c r="B21" s="627"/>
      <c r="C21" s="627"/>
      <c r="D21" s="197">
        <f>SUM(D19:D20)</f>
        <v>60000000</v>
      </c>
      <c r="E21" s="197">
        <f>SUM(E19:E20)</f>
        <v>16200000</v>
      </c>
      <c r="F21" s="196">
        <f>SUM(F19:F20)</f>
        <v>76200000</v>
      </c>
      <c r="H21" s="225"/>
      <c r="I21" s="193"/>
    </row>
    <row r="22" spans="1:9" s="167" customFormat="1" ht="15.75" thickBot="1">
      <c r="A22" s="195"/>
      <c r="B22" s="26"/>
      <c r="C22" s="26"/>
      <c r="D22" s="26"/>
      <c r="E22" s="26"/>
      <c r="F22" s="194"/>
      <c r="H22" s="225"/>
      <c r="I22" s="193"/>
    </row>
    <row r="23" spans="1:9" s="192" customFormat="1" ht="22.5" customHeight="1" thickBot="1">
      <c r="A23" s="636" t="s">
        <v>176</v>
      </c>
      <c r="B23" s="637"/>
      <c r="C23" s="637"/>
      <c r="D23" s="637"/>
      <c r="E23" s="637"/>
      <c r="F23" s="638"/>
      <c r="G23" s="167"/>
      <c r="H23" s="231"/>
    </row>
    <row r="24" spans="1:9" s="40" customFormat="1" ht="16.5" customHeight="1" thickTop="1">
      <c r="A24" s="639" t="s">
        <v>175</v>
      </c>
      <c r="B24" s="640"/>
      <c r="C24" s="640"/>
      <c r="D24" s="640"/>
      <c r="E24" s="640"/>
      <c r="F24" s="641"/>
      <c r="G24" s="167"/>
      <c r="H24" s="232"/>
    </row>
    <row r="25" spans="1:9" s="45" customFormat="1" ht="16.5" customHeight="1">
      <c r="A25" s="634" t="s">
        <v>166</v>
      </c>
      <c r="B25" s="635"/>
      <c r="C25" s="635"/>
      <c r="D25" s="191" t="s">
        <v>165</v>
      </c>
      <c r="E25" s="190" t="s">
        <v>19</v>
      </c>
      <c r="F25" s="189" t="s">
        <v>164</v>
      </c>
      <c r="G25" s="167"/>
      <c r="H25" s="233"/>
    </row>
    <row r="26" spans="1:9" s="167" customFormat="1" ht="16.5" customHeight="1">
      <c r="A26" s="642" t="s">
        <v>174</v>
      </c>
      <c r="B26" s="643"/>
      <c r="C26" s="644"/>
      <c r="D26" s="188">
        <f>25*250*11500</f>
        <v>71875000</v>
      </c>
      <c r="E26" s="187">
        <v>0</v>
      </c>
      <c r="F26" s="184">
        <f>SUM(D26:E26)</f>
        <v>71875000</v>
      </c>
      <c r="H26" s="225"/>
    </row>
    <row r="27" spans="1:9" s="167" customFormat="1" ht="16.5" customHeight="1">
      <c r="A27" s="645" t="s">
        <v>173</v>
      </c>
      <c r="B27" s="646"/>
      <c r="C27" s="647"/>
      <c r="D27" s="186">
        <f>5*250*11500</f>
        <v>14375000</v>
      </c>
      <c r="E27" s="185">
        <v>0</v>
      </c>
      <c r="F27" s="184">
        <f>SUM(D27:E27)</f>
        <v>14375000</v>
      </c>
      <c r="H27" s="225"/>
    </row>
    <row r="28" spans="1:9" s="167" customFormat="1" ht="16.5" customHeight="1" thickBot="1">
      <c r="A28" s="648" t="s">
        <v>143</v>
      </c>
      <c r="B28" s="649"/>
      <c r="C28" s="650"/>
      <c r="D28" s="183">
        <f>SUM(D26:D27)</f>
        <v>86250000</v>
      </c>
      <c r="E28" s="182">
        <v>0</v>
      </c>
      <c r="F28" s="181">
        <f>SUM(F26:F27)</f>
        <v>86250000</v>
      </c>
      <c r="H28" s="225"/>
    </row>
    <row r="29" spans="1:9" s="167" customFormat="1" ht="24" customHeight="1" thickBot="1">
      <c r="A29" s="623" t="s">
        <v>172</v>
      </c>
      <c r="B29" s="624"/>
      <c r="C29" s="624"/>
      <c r="D29" s="624"/>
      <c r="E29" s="624"/>
      <c r="F29" s="625"/>
      <c r="H29" s="225"/>
    </row>
    <row r="30" spans="1:9" s="167" customFormat="1" ht="16.5" customHeight="1" thickTop="1">
      <c r="A30" s="612" t="s">
        <v>171</v>
      </c>
      <c r="B30" s="613"/>
      <c r="C30" s="613"/>
      <c r="D30" s="613"/>
      <c r="E30" s="613"/>
      <c r="F30" s="614"/>
      <c r="H30" s="225"/>
    </row>
    <row r="31" spans="1:9" s="167" customFormat="1" ht="16.5" customHeight="1">
      <c r="A31" s="615" t="s">
        <v>166</v>
      </c>
      <c r="B31" s="616"/>
      <c r="C31" s="616"/>
      <c r="D31" s="180" t="s">
        <v>165</v>
      </c>
      <c r="E31" s="180" t="s">
        <v>19</v>
      </c>
      <c r="F31" s="179" t="s">
        <v>164</v>
      </c>
      <c r="H31" s="225"/>
    </row>
    <row r="32" spans="1:9" s="167" customFormat="1" ht="16.5" customHeight="1">
      <c r="A32" s="617" t="s">
        <v>170</v>
      </c>
      <c r="B32" s="618"/>
      <c r="C32" s="619"/>
      <c r="D32" s="178">
        <f>'[3]Pótdíj bevételek'!F34</f>
        <v>56912864.579999998</v>
      </c>
      <c r="E32" s="178">
        <v>0</v>
      </c>
      <c r="F32" s="174">
        <f>SUM(D32:E32)</f>
        <v>56912864.579999998</v>
      </c>
      <c r="H32" s="225"/>
    </row>
    <row r="33" spans="1:9" s="167" customFormat="1" ht="16.5" customHeight="1">
      <c r="A33" s="617" t="s">
        <v>169</v>
      </c>
      <c r="B33" s="618"/>
      <c r="C33" s="619"/>
      <c r="D33" s="178">
        <f>'[3]Pótdíj bevételek'!G43+'[3]Pótdíj bevételek'!H43</f>
        <v>75393875.990400001</v>
      </c>
      <c r="E33" s="177">
        <v>0</v>
      </c>
      <c r="F33" s="174">
        <f>SUM(D33:E33)</f>
        <v>75393875.990400001</v>
      </c>
      <c r="G33" s="193"/>
      <c r="H33" s="225"/>
    </row>
    <row r="34" spans="1:9" s="167" customFormat="1" ht="16.5" customHeight="1">
      <c r="A34" s="617" t="s">
        <v>168</v>
      </c>
      <c r="B34" s="618"/>
      <c r="C34" s="619"/>
      <c r="D34" s="176">
        <f>'[3]Pótdíj bevételek'!I43</f>
        <v>99213548.544</v>
      </c>
      <c r="E34" s="175"/>
      <c r="F34" s="174">
        <f>SUM(D34:E34)</f>
        <v>99213548.544</v>
      </c>
      <c r="H34" s="225"/>
    </row>
    <row r="35" spans="1:9" s="167" customFormat="1" ht="16.5" customHeight="1" thickBot="1">
      <c r="A35" s="620" t="s">
        <v>143</v>
      </c>
      <c r="B35" s="621"/>
      <c r="C35" s="622"/>
      <c r="D35" s="173">
        <f>SUM(D32:D34)</f>
        <v>231520289.1144</v>
      </c>
      <c r="E35" s="173">
        <f>SUM(E32:E33)</f>
        <v>0</v>
      </c>
      <c r="F35" s="172">
        <f>SUM(F32:F34)</f>
        <v>231520289.1144</v>
      </c>
      <c r="H35" s="225"/>
    </row>
    <row r="36" spans="1:9" s="167" customFormat="1" ht="16.5" customHeight="1" thickBot="1">
      <c r="A36" s="171"/>
      <c r="B36" s="170"/>
      <c r="C36" s="170"/>
      <c r="D36" s="169"/>
      <c r="E36" s="169"/>
      <c r="F36" s="168"/>
      <c r="H36" s="225"/>
    </row>
    <row r="37" spans="1:9" s="167" customFormat="1" ht="25.5" customHeight="1" thickBot="1">
      <c r="A37" s="609" t="s">
        <v>167</v>
      </c>
      <c r="B37" s="610"/>
      <c r="C37" s="610"/>
      <c r="D37" s="610"/>
      <c r="E37" s="610"/>
      <c r="F37" s="611"/>
      <c r="H37" s="225"/>
    </row>
    <row r="38" spans="1:9" s="164" customFormat="1" ht="16.5" customHeight="1" thickTop="1">
      <c r="A38" s="600" t="s">
        <v>166</v>
      </c>
      <c r="B38" s="601"/>
      <c r="C38" s="601"/>
      <c r="D38" s="166" t="s">
        <v>165</v>
      </c>
      <c r="E38" s="166" t="s">
        <v>19</v>
      </c>
      <c r="F38" s="165" t="s">
        <v>164</v>
      </c>
      <c r="H38" s="234"/>
    </row>
    <row r="39" spans="1:9" s="158" customFormat="1" ht="15.75" customHeight="1">
      <c r="A39" s="602" t="s">
        <v>160</v>
      </c>
      <c r="B39" s="603"/>
      <c r="C39" s="604"/>
      <c r="D39" s="163">
        <f>F12+D19+D26+(D32*0.9)+(D33*0.9)+(D34*0.9)</f>
        <v>650521843.14573085</v>
      </c>
      <c r="E39" s="163">
        <f>F12*0.27+E19+E26+E32</f>
        <v>99975217.394548148</v>
      </c>
      <c r="F39" s="162">
        <f>D39+E39</f>
        <v>750497060.54027903</v>
      </c>
      <c r="H39" s="235"/>
    </row>
    <row r="40" spans="1:9" s="158" customFormat="1" ht="15.75" customHeight="1">
      <c r="A40" s="605" t="s">
        <v>161</v>
      </c>
      <c r="B40" s="606"/>
      <c r="C40" s="606"/>
      <c r="D40" s="163">
        <f>F13+D20+D27+(D32*0.1)+(D33*0.1)+(D34*0.1)</f>
        <v>80213609.6392131</v>
      </c>
      <c r="E40" s="163">
        <f>F13*0.27+E20+E27+E33</f>
        <v>11525376.796498738</v>
      </c>
      <c r="F40" s="162">
        <f>D40+E40</f>
        <v>91738986.435711831</v>
      </c>
      <c r="H40" s="235"/>
    </row>
    <row r="41" spans="1:9" s="158" customFormat="1" ht="15.75" thickBot="1">
      <c r="A41" s="607" t="s">
        <v>143</v>
      </c>
      <c r="B41" s="608"/>
      <c r="C41" s="608"/>
      <c r="D41" s="161">
        <f>D39+D40</f>
        <v>730735452.78494394</v>
      </c>
      <c r="E41" s="161">
        <f>E39+E40</f>
        <v>111500594.19104689</v>
      </c>
      <c r="F41" s="160">
        <f>D41+E41</f>
        <v>842236046.97599077</v>
      </c>
      <c r="H41" s="235"/>
      <c r="I41" s="159"/>
    </row>
  </sheetData>
  <mergeCells count="35">
    <mergeCell ref="A13:C13"/>
    <mergeCell ref="A1:F1"/>
    <mergeCell ref="A2:C2"/>
    <mergeCell ref="A3:C3"/>
    <mergeCell ref="A4:C4"/>
    <mergeCell ref="A5:C5"/>
    <mergeCell ref="A6:C6"/>
    <mergeCell ref="A7:C7"/>
    <mergeCell ref="A9:F9"/>
    <mergeCell ref="A10:F10"/>
    <mergeCell ref="A11:C11"/>
    <mergeCell ref="A12:C12"/>
    <mergeCell ref="A29:F29"/>
    <mergeCell ref="A14:C14"/>
    <mergeCell ref="A16:F16"/>
    <mergeCell ref="A17:F17"/>
    <mergeCell ref="A18:C18"/>
    <mergeCell ref="A21:C21"/>
    <mergeCell ref="A23:F23"/>
    <mergeCell ref="A24:F24"/>
    <mergeCell ref="A25:C25"/>
    <mergeCell ref="A26:C26"/>
    <mergeCell ref="A27:C27"/>
    <mergeCell ref="A28:C28"/>
    <mergeCell ref="A30:F30"/>
    <mergeCell ref="A31:C31"/>
    <mergeCell ref="A32:C32"/>
    <mergeCell ref="A33:C33"/>
    <mergeCell ref="A35:C35"/>
    <mergeCell ref="A34:C34"/>
    <mergeCell ref="A38:C38"/>
    <mergeCell ref="A39:C39"/>
    <mergeCell ref="A40:C40"/>
    <mergeCell ref="A41:C41"/>
    <mergeCell ref="A37:F37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V145"/>
  <sheetViews>
    <sheetView topLeftCell="A13" zoomScaleNormal="100" workbookViewId="0">
      <pane xSplit="9" topLeftCell="V1" activePane="topRight" state="frozen"/>
      <selection pane="topRight" activeCell="J32" sqref="J32:U32"/>
    </sheetView>
  </sheetViews>
  <sheetFormatPr defaultRowHeight="18"/>
  <cols>
    <col min="1" max="1" width="0.85546875" style="278" customWidth="1"/>
    <col min="2" max="2" width="5.28515625" style="278" customWidth="1"/>
    <col min="3" max="3" width="61.42578125" style="66" bestFit="1" customWidth="1"/>
    <col min="4" max="4" width="64.5703125" style="66" customWidth="1"/>
    <col min="5" max="5" width="12.85546875" style="66" customWidth="1"/>
    <col min="6" max="8" width="13.42578125" style="66" customWidth="1"/>
    <col min="9" max="9" width="15.42578125" style="66" customWidth="1"/>
    <col min="10" max="15" width="13.42578125" style="66" customWidth="1"/>
    <col min="16" max="16" width="15" style="66" customWidth="1"/>
    <col min="17" max="21" width="13.42578125" style="66" customWidth="1"/>
    <col min="22" max="22" width="17" style="67" bestFit="1" customWidth="1"/>
    <col min="23" max="23" width="13.7109375" style="66" bestFit="1" customWidth="1"/>
    <col min="24" max="24" width="13.7109375" style="66" customWidth="1"/>
    <col min="25" max="25" width="23.85546875" style="278" bestFit="1" customWidth="1"/>
    <col min="26" max="26" width="9.85546875" style="278" bestFit="1" customWidth="1"/>
    <col min="27" max="27" width="19.42578125" style="278" bestFit="1" customWidth="1"/>
    <col min="28" max="28" width="10.28515625" style="278" bestFit="1" customWidth="1"/>
    <col min="29" max="16384" width="9.140625" style="278"/>
  </cols>
  <sheetData>
    <row r="2" spans="2:25" ht="15" customHeight="1">
      <c r="C2" s="556"/>
      <c r="D2" s="556"/>
      <c r="E2" s="556"/>
      <c r="F2" s="556"/>
      <c r="G2" s="556"/>
      <c r="H2" s="556"/>
      <c r="I2" s="556"/>
      <c r="J2" s="556"/>
      <c r="K2" s="556"/>
      <c r="L2" s="556"/>
      <c r="M2" s="556"/>
      <c r="N2" s="556"/>
      <c r="O2" s="556"/>
      <c r="P2" s="556"/>
      <c r="Q2" s="556"/>
      <c r="R2" s="556"/>
      <c r="S2" s="556"/>
      <c r="T2" s="556"/>
      <c r="U2" s="556"/>
      <c r="V2" s="556"/>
      <c r="W2" s="556"/>
      <c r="X2" s="556"/>
    </row>
    <row r="3" spans="2:25" ht="15" customHeight="1">
      <c r="C3" s="556"/>
      <c r="D3" s="556"/>
      <c r="E3" s="556"/>
      <c r="F3" s="556"/>
      <c r="G3" s="556"/>
      <c r="H3" s="556"/>
      <c r="I3" s="556"/>
      <c r="J3" s="556"/>
      <c r="K3" s="556"/>
      <c r="L3" s="556"/>
      <c r="M3" s="556"/>
      <c r="N3" s="556"/>
      <c r="O3" s="556"/>
      <c r="P3" s="556"/>
      <c r="Q3" s="556"/>
      <c r="R3" s="556"/>
      <c r="S3" s="556"/>
      <c r="T3" s="556"/>
      <c r="U3" s="556"/>
      <c r="V3" s="556"/>
      <c r="W3" s="556"/>
      <c r="X3" s="556"/>
    </row>
    <row r="4" spans="2:25" s="1" customFormat="1" ht="15">
      <c r="B4" s="1" t="s">
        <v>1</v>
      </c>
      <c r="C4" s="2" t="s">
        <v>2</v>
      </c>
      <c r="D4" s="2"/>
      <c r="E4" s="3" t="s">
        <v>3</v>
      </c>
      <c r="F4" s="3" t="s">
        <v>4</v>
      </c>
      <c r="G4" s="4" t="s">
        <v>5</v>
      </c>
      <c r="H4" s="4" t="s">
        <v>276</v>
      </c>
      <c r="I4" s="4" t="s">
        <v>18</v>
      </c>
      <c r="J4" s="4" t="s">
        <v>6</v>
      </c>
      <c r="K4" s="4" t="s">
        <v>7</v>
      </c>
      <c r="L4" s="4" t="s">
        <v>8</v>
      </c>
      <c r="M4" s="4" t="s">
        <v>9</v>
      </c>
      <c r="N4" s="4" t="s">
        <v>10</v>
      </c>
      <c r="O4" s="4" t="s">
        <v>11</v>
      </c>
      <c r="P4" s="4" t="s">
        <v>12</v>
      </c>
      <c r="Q4" s="4" t="s">
        <v>13</v>
      </c>
      <c r="R4" s="4" t="s">
        <v>14</v>
      </c>
      <c r="S4" s="4" t="s">
        <v>15</v>
      </c>
      <c r="T4" s="4" t="s">
        <v>16</v>
      </c>
      <c r="U4" s="4" t="s">
        <v>17</v>
      </c>
      <c r="V4" s="5" t="s">
        <v>18</v>
      </c>
      <c r="W4" s="5" t="s">
        <v>19</v>
      </c>
      <c r="X4" s="5" t="s">
        <v>20</v>
      </c>
    </row>
    <row r="5" spans="2:25" s="1" customFormat="1" ht="15">
      <c r="B5" s="278"/>
      <c r="C5" s="6"/>
      <c r="D5" s="6"/>
      <c r="E5" s="7"/>
      <c r="F5" s="7"/>
      <c r="G5" s="8"/>
      <c r="H5" s="8"/>
      <c r="I5" s="8"/>
      <c r="J5" s="8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</row>
    <row r="6" spans="2:25" s="17" customFormat="1" ht="15">
      <c r="B6" s="10">
        <v>1</v>
      </c>
      <c r="C6" s="11" t="s">
        <v>21</v>
      </c>
      <c r="D6" s="12"/>
      <c r="E6" s="12"/>
      <c r="F6" s="12"/>
      <c r="G6" s="13"/>
      <c r="H6" s="13"/>
      <c r="I6" s="13"/>
      <c r="J6" s="14">
        <f t="shared" ref="J6:U6" si="0">SUM(J7:J12)</f>
        <v>564000</v>
      </c>
      <c r="K6" s="14">
        <f t="shared" si="0"/>
        <v>564000</v>
      </c>
      <c r="L6" s="14">
        <f t="shared" si="0"/>
        <v>2546500</v>
      </c>
      <c r="M6" s="14">
        <f t="shared" si="0"/>
        <v>522500</v>
      </c>
      <c r="N6" s="14">
        <f t="shared" si="0"/>
        <v>522500</v>
      </c>
      <c r="O6" s="14">
        <f t="shared" si="0"/>
        <v>2325000</v>
      </c>
      <c r="P6" s="14">
        <f t="shared" si="0"/>
        <v>542500</v>
      </c>
      <c r="Q6" s="14">
        <f t="shared" si="0"/>
        <v>542500</v>
      </c>
      <c r="R6" s="14">
        <f t="shared" si="0"/>
        <v>2505000</v>
      </c>
      <c r="S6" s="14">
        <f t="shared" si="0"/>
        <v>522500</v>
      </c>
      <c r="T6" s="14">
        <f t="shared" si="0"/>
        <v>564000</v>
      </c>
      <c r="U6" s="14">
        <f t="shared" si="0"/>
        <v>564000</v>
      </c>
      <c r="V6" s="14"/>
      <c r="W6" s="14"/>
      <c r="X6" s="14"/>
      <c r="Y6" s="16"/>
    </row>
    <row r="7" spans="2:25" s="17" customFormat="1" ht="15">
      <c r="B7" s="18" t="s">
        <v>27</v>
      </c>
      <c r="C7" s="19" t="s">
        <v>270</v>
      </c>
      <c r="D7" s="19" t="s">
        <v>273</v>
      </c>
      <c r="E7" s="20">
        <v>10500</v>
      </c>
      <c r="F7" s="19">
        <v>45</v>
      </c>
      <c r="G7" s="23">
        <f>+E7*F7</f>
        <v>472500</v>
      </c>
      <c r="H7" s="23">
        <v>12</v>
      </c>
      <c r="I7" s="23">
        <f>+G7*12</f>
        <v>5670000</v>
      </c>
      <c r="J7" s="23">
        <f t="shared" ref="J7:U7" si="1">45*10500</f>
        <v>472500</v>
      </c>
      <c r="K7" s="23">
        <f t="shared" si="1"/>
        <v>472500</v>
      </c>
      <c r="L7" s="23">
        <f t="shared" si="1"/>
        <v>472500</v>
      </c>
      <c r="M7" s="23">
        <f t="shared" si="1"/>
        <v>472500</v>
      </c>
      <c r="N7" s="23">
        <f t="shared" si="1"/>
        <v>472500</v>
      </c>
      <c r="O7" s="23">
        <f t="shared" si="1"/>
        <v>472500</v>
      </c>
      <c r="P7" s="23">
        <f t="shared" si="1"/>
        <v>472500</v>
      </c>
      <c r="Q7" s="23">
        <f t="shared" si="1"/>
        <v>472500</v>
      </c>
      <c r="R7" s="23">
        <f t="shared" si="1"/>
        <v>472500</v>
      </c>
      <c r="S7" s="23">
        <f t="shared" si="1"/>
        <v>472500</v>
      </c>
      <c r="T7" s="23">
        <f t="shared" si="1"/>
        <v>472500</v>
      </c>
      <c r="U7" s="23">
        <f t="shared" si="1"/>
        <v>472500</v>
      </c>
      <c r="V7" s="21">
        <f t="shared" ref="V7:V12" si="2">SUM(J7:U7)</f>
        <v>5670000</v>
      </c>
      <c r="W7" s="22"/>
      <c r="X7" s="21">
        <f>SUM(V7:W7)</f>
        <v>5670000</v>
      </c>
    </row>
    <row r="8" spans="2:25" ht="15">
      <c r="B8" s="18" t="s">
        <v>29</v>
      </c>
      <c r="C8" s="19" t="s">
        <v>28</v>
      </c>
      <c r="D8" s="19" t="s">
        <v>274</v>
      </c>
      <c r="E8" s="20">
        <v>120000</v>
      </c>
      <c r="F8" s="19">
        <v>3</v>
      </c>
      <c r="G8" s="23"/>
      <c r="H8" s="23">
        <v>3</v>
      </c>
      <c r="I8" s="23">
        <f>+F8*E8</f>
        <v>360000</v>
      </c>
      <c r="J8" s="20"/>
      <c r="K8" s="20"/>
      <c r="L8" s="20">
        <v>120000</v>
      </c>
      <c r="M8" s="20"/>
      <c r="N8" s="20"/>
      <c r="O8" s="20">
        <v>120000</v>
      </c>
      <c r="P8" s="20"/>
      <c r="Q8" s="20"/>
      <c r="R8" s="20">
        <v>120000</v>
      </c>
      <c r="S8" s="20"/>
      <c r="T8" s="20"/>
      <c r="U8" s="20"/>
      <c r="V8" s="21">
        <f t="shared" si="2"/>
        <v>360000</v>
      </c>
      <c r="W8" s="22">
        <v>0</v>
      </c>
      <c r="X8" s="21">
        <f>SUM(V8:W8)</f>
        <v>360000</v>
      </c>
    </row>
    <row r="9" spans="2:25" ht="15">
      <c r="B9" s="18" t="s">
        <v>31</v>
      </c>
      <c r="C9" s="19" t="s">
        <v>85</v>
      </c>
      <c r="D9" s="19" t="s">
        <v>274</v>
      </c>
      <c r="E9" s="20">
        <v>17500</v>
      </c>
      <c r="F9" s="19">
        <v>45</v>
      </c>
      <c r="G9" s="21"/>
      <c r="H9" s="21">
        <v>3</v>
      </c>
      <c r="I9" s="21">
        <f>+F9*E9</f>
        <v>787500</v>
      </c>
      <c r="J9" s="20"/>
      <c r="K9" s="20"/>
      <c r="L9" s="20">
        <f>15*17500</f>
        <v>262500</v>
      </c>
      <c r="M9" s="20"/>
      <c r="N9" s="20"/>
      <c r="O9" s="20">
        <f>15*17500</f>
        <v>262500</v>
      </c>
      <c r="P9" s="20"/>
      <c r="Q9" s="20"/>
      <c r="R9" s="20">
        <f>15*17500</f>
        <v>262500</v>
      </c>
      <c r="S9" s="20"/>
      <c r="T9" s="20"/>
      <c r="U9" s="20"/>
      <c r="V9" s="21">
        <f t="shared" si="2"/>
        <v>787500</v>
      </c>
      <c r="W9" s="22"/>
      <c r="X9" s="21"/>
    </row>
    <row r="10" spans="2:25" ht="15">
      <c r="B10" s="18" t="s">
        <v>33</v>
      </c>
      <c r="C10" s="19" t="s">
        <v>32</v>
      </c>
      <c r="D10" s="19" t="s">
        <v>275</v>
      </c>
      <c r="E10" s="20">
        <v>200000</v>
      </c>
      <c r="F10" s="19">
        <v>1</v>
      </c>
      <c r="G10" s="23"/>
      <c r="H10" s="23">
        <v>1</v>
      </c>
      <c r="I10" s="23">
        <f>SUM(J10:U10)</f>
        <v>200000</v>
      </c>
      <c r="J10" s="20"/>
      <c r="K10" s="20"/>
      <c r="L10" s="20"/>
      <c r="M10" s="20"/>
      <c r="N10" s="20"/>
      <c r="O10" s="20"/>
      <c r="P10" s="20"/>
      <c r="Q10" s="20"/>
      <c r="R10" s="20">
        <v>200000</v>
      </c>
      <c r="S10" s="20"/>
      <c r="T10" s="20"/>
      <c r="U10" s="20"/>
      <c r="V10" s="21">
        <f t="shared" si="2"/>
        <v>200000</v>
      </c>
      <c r="W10" s="22">
        <v>0</v>
      </c>
      <c r="X10" s="21">
        <f>SUM(V10:W10)</f>
        <v>200000</v>
      </c>
      <c r="Y10" s="24"/>
    </row>
    <row r="11" spans="2:25" ht="15">
      <c r="B11" s="18" t="s">
        <v>35</v>
      </c>
      <c r="C11" s="19" t="s">
        <v>34</v>
      </c>
      <c r="D11" s="19" t="s">
        <v>277</v>
      </c>
      <c r="E11" s="22"/>
      <c r="F11" s="19">
        <v>12</v>
      </c>
      <c r="G11" s="23">
        <f>E11*F11</f>
        <v>0</v>
      </c>
      <c r="H11" s="23">
        <v>12</v>
      </c>
      <c r="I11" s="23">
        <f>SUM(J11:U11)</f>
        <v>867500</v>
      </c>
      <c r="J11" s="22">
        <v>91500</v>
      </c>
      <c r="K11" s="22">
        <v>91500</v>
      </c>
      <c r="L11" s="22">
        <v>91500</v>
      </c>
      <c r="M11" s="22">
        <v>50000</v>
      </c>
      <c r="N11" s="22">
        <v>50000</v>
      </c>
      <c r="O11" s="22">
        <v>70000</v>
      </c>
      <c r="P11" s="22">
        <v>70000</v>
      </c>
      <c r="Q11" s="22">
        <v>70000</v>
      </c>
      <c r="R11" s="22">
        <v>50000</v>
      </c>
      <c r="S11" s="22">
        <v>50000</v>
      </c>
      <c r="T11" s="22">
        <v>91500</v>
      </c>
      <c r="U11" s="22">
        <v>91500</v>
      </c>
      <c r="V11" s="21">
        <f t="shared" si="2"/>
        <v>867500</v>
      </c>
      <c r="W11" s="22">
        <f>V11*0.27</f>
        <v>234225.00000000003</v>
      </c>
      <c r="X11" s="21">
        <f>SUM(V11:W11)</f>
        <v>1101725</v>
      </c>
      <c r="Y11" s="24"/>
    </row>
    <row r="12" spans="2:25" ht="15">
      <c r="B12" s="18" t="s">
        <v>198</v>
      </c>
      <c r="C12" s="19" t="s">
        <v>36</v>
      </c>
      <c r="D12" s="19" t="s">
        <v>278</v>
      </c>
      <c r="E12" s="22"/>
      <c r="F12" s="19"/>
      <c r="G12" s="23"/>
      <c r="H12" s="23"/>
      <c r="I12" s="23">
        <f>SUM(J12:U12)</f>
        <v>4400000</v>
      </c>
      <c r="J12" s="22"/>
      <c r="K12" s="22"/>
      <c r="L12" s="22">
        <v>1600000</v>
      </c>
      <c r="M12" s="22"/>
      <c r="N12" s="22"/>
      <c r="O12" s="22">
        <v>1400000</v>
      </c>
      <c r="P12" s="22"/>
      <c r="Q12" s="22"/>
      <c r="R12" s="22">
        <v>1400000</v>
      </c>
      <c r="S12" s="22"/>
      <c r="T12" s="22"/>
      <c r="U12" s="22"/>
      <c r="V12" s="21">
        <f t="shared" si="2"/>
        <v>4400000</v>
      </c>
      <c r="W12" s="22">
        <f>+V12*0.27</f>
        <v>1188000</v>
      </c>
      <c r="X12" s="21">
        <f>SUM(V12:W12)</f>
        <v>5588000</v>
      </c>
      <c r="Y12" s="24"/>
    </row>
    <row r="13" spans="2:25" ht="15">
      <c r="C13" s="25"/>
      <c r="D13" s="25"/>
      <c r="E13" s="25"/>
      <c r="F13" s="25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</row>
    <row r="14" spans="2:25" ht="15">
      <c r="B14" s="10">
        <v>2</v>
      </c>
      <c r="C14" s="27" t="s">
        <v>200</v>
      </c>
      <c r="D14" s="28"/>
      <c r="E14" s="28"/>
      <c r="F14" s="28"/>
      <c r="G14" s="13"/>
      <c r="H14" s="13"/>
      <c r="I14" s="13"/>
      <c r="J14" s="29">
        <f t="shared" ref="J14:U14" si="3">SUM(J15:J23)</f>
        <v>15150722</v>
      </c>
      <c r="K14" s="29">
        <f t="shared" si="3"/>
        <v>15150722</v>
      </c>
      <c r="L14" s="29">
        <f t="shared" si="3"/>
        <v>15150722</v>
      </c>
      <c r="M14" s="29">
        <f t="shared" si="3"/>
        <v>15750722</v>
      </c>
      <c r="N14" s="29">
        <f t="shared" si="3"/>
        <v>15150722</v>
      </c>
      <c r="O14" s="29">
        <f t="shared" si="3"/>
        <v>15150722</v>
      </c>
      <c r="P14" s="29">
        <f t="shared" si="3"/>
        <v>15150722</v>
      </c>
      <c r="Q14" s="29">
        <f t="shared" si="3"/>
        <v>15150722</v>
      </c>
      <c r="R14" s="29">
        <f t="shared" si="3"/>
        <v>15150722</v>
      </c>
      <c r="S14" s="29">
        <f t="shared" si="3"/>
        <v>15150722</v>
      </c>
      <c r="T14" s="29">
        <f t="shared" si="3"/>
        <v>15150722</v>
      </c>
      <c r="U14" s="29">
        <f t="shared" si="3"/>
        <v>15150722</v>
      </c>
      <c r="V14" s="15"/>
      <c r="W14" s="15"/>
      <c r="X14" s="15"/>
    </row>
    <row r="15" spans="2:25" ht="15">
      <c r="B15" s="30" t="s">
        <v>37</v>
      </c>
      <c r="C15" s="19" t="s">
        <v>102</v>
      </c>
      <c r="D15" s="19" t="s">
        <v>285</v>
      </c>
      <c r="E15" s="22">
        <v>62500</v>
      </c>
      <c r="F15" s="19">
        <v>170</v>
      </c>
      <c r="G15" s="20">
        <f t="shared" ref="G15:G23" si="4">E15*F15</f>
        <v>10625000</v>
      </c>
      <c r="H15" s="20">
        <v>12</v>
      </c>
      <c r="I15" s="20">
        <f t="shared" ref="I15:I23" si="5">+H15*G15</f>
        <v>127500000</v>
      </c>
      <c r="J15" s="20">
        <f t="shared" ref="J15:U15" si="6">193*62500</f>
        <v>12062500</v>
      </c>
      <c r="K15" s="20">
        <f t="shared" si="6"/>
        <v>12062500</v>
      </c>
      <c r="L15" s="20">
        <f t="shared" si="6"/>
        <v>12062500</v>
      </c>
      <c r="M15" s="20">
        <f t="shared" si="6"/>
        <v>12062500</v>
      </c>
      <c r="N15" s="20">
        <f t="shared" si="6"/>
        <v>12062500</v>
      </c>
      <c r="O15" s="20">
        <f t="shared" si="6"/>
        <v>12062500</v>
      </c>
      <c r="P15" s="20">
        <f t="shared" si="6"/>
        <v>12062500</v>
      </c>
      <c r="Q15" s="20">
        <f t="shared" si="6"/>
        <v>12062500</v>
      </c>
      <c r="R15" s="20">
        <f t="shared" si="6"/>
        <v>12062500</v>
      </c>
      <c r="S15" s="20">
        <f t="shared" si="6"/>
        <v>12062500</v>
      </c>
      <c r="T15" s="20">
        <f t="shared" si="6"/>
        <v>12062500</v>
      </c>
      <c r="U15" s="20">
        <f t="shared" si="6"/>
        <v>12062500</v>
      </c>
      <c r="V15" s="22">
        <f t="shared" ref="V15:V23" si="7">SUM(J15:U15)</f>
        <v>144750000</v>
      </c>
      <c r="W15" s="22">
        <f t="shared" ref="W15:W23" si="8">V15*0.27</f>
        <v>39082500</v>
      </c>
      <c r="X15" s="22">
        <f t="shared" ref="X15:X23" si="9">SUM(V15:W15)</f>
        <v>183832500</v>
      </c>
    </row>
    <row r="16" spans="2:25" ht="15">
      <c r="B16" s="30" t="s">
        <v>342</v>
      </c>
      <c r="C16" s="19" t="s">
        <v>344</v>
      </c>
      <c r="D16" s="19" t="s">
        <v>345</v>
      </c>
      <c r="E16" s="22">
        <v>1593000</v>
      </c>
      <c r="F16" s="19">
        <v>1</v>
      </c>
      <c r="G16" s="20">
        <f t="shared" si="4"/>
        <v>1593000</v>
      </c>
      <c r="H16" s="20">
        <v>12</v>
      </c>
      <c r="I16" s="20">
        <f t="shared" si="5"/>
        <v>19116000</v>
      </c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2"/>
      <c r="W16" s="22"/>
      <c r="X16" s="22"/>
    </row>
    <row r="17" spans="2:24" ht="15">
      <c r="B17" s="30" t="s">
        <v>38</v>
      </c>
      <c r="C17" s="31" t="s">
        <v>375</v>
      </c>
      <c r="D17" s="31" t="s">
        <v>279</v>
      </c>
      <c r="E17" s="22">
        <v>3000</v>
      </c>
      <c r="F17" s="31">
        <v>221</v>
      </c>
      <c r="G17" s="22">
        <f t="shared" si="4"/>
        <v>663000</v>
      </c>
      <c r="H17" s="22">
        <v>12</v>
      </c>
      <c r="I17" s="20">
        <f t="shared" si="5"/>
        <v>7956000</v>
      </c>
      <c r="J17" s="22">
        <f t="shared" ref="J17:U17" si="10">3000*244</f>
        <v>732000</v>
      </c>
      <c r="K17" s="22">
        <f t="shared" si="10"/>
        <v>732000</v>
      </c>
      <c r="L17" s="22">
        <f t="shared" si="10"/>
        <v>732000</v>
      </c>
      <c r="M17" s="22">
        <f t="shared" si="10"/>
        <v>732000</v>
      </c>
      <c r="N17" s="22">
        <f t="shared" si="10"/>
        <v>732000</v>
      </c>
      <c r="O17" s="22">
        <f t="shared" si="10"/>
        <v>732000</v>
      </c>
      <c r="P17" s="22">
        <f t="shared" si="10"/>
        <v>732000</v>
      </c>
      <c r="Q17" s="22">
        <f t="shared" si="10"/>
        <v>732000</v>
      </c>
      <c r="R17" s="22">
        <f t="shared" si="10"/>
        <v>732000</v>
      </c>
      <c r="S17" s="22">
        <f t="shared" si="10"/>
        <v>732000</v>
      </c>
      <c r="T17" s="22">
        <f t="shared" si="10"/>
        <v>732000</v>
      </c>
      <c r="U17" s="22">
        <f t="shared" si="10"/>
        <v>732000</v>
      </c>
      <c r="V17" s="22">
        <f t="shared" si="7"/>
        <v>8784000</v>
      </c>
      <c r="W17" s="22">
        <f t="shared" si="8"/>
        <v>2371680</v>
      </c>
      <c r="X17" s="22">
        <f t="shared" si="9"/>
        <v>11155680</v>
      </c>
    </row>
    <row r="18" spans="2:24" ht="15">
      <c r="B18" s="30" t="s">
        <v>40</v>
      </c>
      <c r="C18" s="31" t="s">
        <v>39</v>
      </c>
      <c r="D18" s="31" t="s">
        <v>280</v>
      </c>
      <c r="E18" s="22">
        <v>198222</v>
      </c>
      <c r="F18" s="31">
        <v>1</v>
      </c>
      <c r="G18" s="22">
        <f t="shared" si="4"/>
        <v>198222</v>
      </c>
      <c r="H18" s="22">
        <v>12</v>
      </c>
      <c r="I18" s="20">
        <f t="shared" si="5"/>
        <v>2378664</v>
      </c>
      <c r="J18" s="22">
        <v>198222</v>
      </c>
      <c r="K18" s="22">
        <v>198222</v>
      </c>
      <c r="L18" s="22">
        <v>198222</v>
      </c>
      <c r="M18" s="22">
        <v>198222</v>
      </c>
      <c r="N18" s="22">
        <v>198222</v>
      </c>
      <c r="O18" s="22">
        <v>198222</v>
      </c>
      <c r="P18" s="22">
        <v>198222</v>
      </c>
      <c r="Q18" s="22">
        <v>198222</v>
      </c>
      <c r="R18" s="22">
        <v>198222</v>
      </c>
      <c r="S18" s="22">
        <v>198222</v>
      </c>
      <c r="T18" s="22">
        <v>198222</v>
      </c>
      <c r="U18" s="22">
        <v>198222</v>
      </c>
      <c r="V18" s="22">
        <f t="shared" si="7"/>
        <v>2378664</v>
      </c>
      <c r="W18" s="22">
        <f t="shared" si="8"/>
        <v>642239.28</v>
      </c>
      <c r="X18" s="22">
        <f t="shared" si="9"/>
        <v>3020903.2800000003</v>
      </c>
    </row>
    <row r="19" spans="2:24" ht="15">
      <c r="B19" s="30" t="s">
        <v>41</v>
      </c>
      <c r="C19" s="19" t="s">
        <v>201</v>
      </c>
      <c r="D19" s="19" t="s">
        <v>281</v>
      </c>
      <c r="E19" s="22">
        <v>22000</v>
      </c>
      <c r="F19" s="19">
        <v>2</v>
      </c>
      <c r="G19" s="22">
        <f t="shared" si="4"/>
        <v>44000</v>
      </c>
      <c r="H19" s="20">
        <v>12</v>
      </c>
      <c r="I19" s="20">
        <f t="shared" si="5"/>
        <v>528000</v>
      </c>
      <c r="J19" s="20">
        <f t="shared" ref="J19:U19" si="11">22000*2</f>
        <v>44000</v>
      </c>
      <c r="K19" s="20">
        <f t="shared" si="11"/>
        <v>44000</v>
      </c>
      <c r="L19" s="20">
        <f t="shared" si="11"/>
        <v>44000</v>
      </c>
      <c r="M19" s="20">
        <f t="shared" si="11"/>
        <v>44000</v>
      </c>
      <c r="N19" s="20">
        <f t="shared" si="11"/>
        <v>44000</v>
      </c>
      <c r="O19" s="20">
        <f t="shared" si="11"/>
        <v>44000</v>
      </c>
      <c r="P19" s="20">
        <f t="shared" si="11"/>
        <v>44000</v>
      </c>
      <c r="Q19" s="20">
        <f t="shared" si="11"/>
        <v>44000</v>
      </c>
      <c r="R19" s="20">
        <f t="shared" si="11"/>
        <v>44000</v>
      </c>
      <c r="S19" s="20">
        <f t="shared" si="11"/>
        <v>44000</v>
      </c>
      <c r="T19" s="20">
        <f t="shared" si="11"/>
        <v>44000</v>
      </c>
      <c r="U19" s="20">
        <f t="shared" si="11"/>
        <v>44000</v>
      </c>
      <c r="V19" s="22">
        <f t="shared" si="7"/>
        <v>528000</v>
      </c>
      <c r="W19" s="22">
        <f t="shared" si="8"/>
        <v>142560</v>
      </c>
      <c r="X19" s="22">
        <f t="shared" si="9"/>
        <v>670560</v>
      </c>
    </row>
    <row r="20" spans="2:24" ht="15">
      <c r="B20" s="30" t="s">
        <v>43</v>
      </c>
      <c r="C20" s="19" t="s">
        <v>286</v>
      </c>
      <c r="D20" s="19" t="s">
        <v>283</v>
      </c>
      <c r="E20" s="22">
        <v>10</v>
      </c>
      <c r="F20" s="19">
        <v>5000</v>
      </c>
      <c r="G20" s="22">
        <f t="shared" si="4"/>
        <v>50000</v>
      </c>
      <c r="H20" s="20">
        <v>12</v>
      </c>
      <c r="I20" s="20">
        <f t="shared" si="5"/>
        <v>600000</v>
      </c>
      <c r="J20" s="20">
        <f>5000*10</f>
        <v>50000</v>
      </c>
      <c r="K20" s="20">
        <v>50000</v>
      </c>
      <c r="L20" s="20">
        <v>50000</v>
      </c>
      <c r="M20" s="20">
        <f>(5000*10)</f>
        <v>50000</v>
      </c>
      <c r="N20" s="20">
        <v>50000</v>
      </c>
      <c r="O20" s="20">
        <v>50000</v>
      </c>
      <c r="P20" s="20">
        <v>50000</v>
      </c>
      <c r="Q20" s="20">
        <v>50000</v>
      </c>
      <c r="R20" s="20">
        <v>50000</v>
      </c>
      <c r="S20" s="20">
        <v>50000</v>
      </c>
      <c r="T20" s="20">
        <v>50000</v>
      </c>
      <c r="U20" s="20">
        <v>50000</v>
      </c>
      <c r="V20" s="22">
        <f t="shared" si="7"/>
        <v>600000</v>
      </c>
      <c r="W20" s="22">
        <f t="shared" si="8"/>
        <v>162000</v>
      </c>
      <c r="X20" s="22">
        <f t="shared" si="9"/>
        <v>762000</v>
      </c>
    </row>
    <row r="21" spans="2:24" ht="15">
      <c r="B21" s="30" t="s">
        <v>45</v>
      </c>
      <c r="C21" s="19" t="s">
        <v>282</v>
      </c>
      <c r="D21" s="19" t="s">
        <v>284</v>
      </c>
      <c r="E21" s="22">
        <v>600</v>
      </c>
      <c r="F21" s="19">
        <v>1000</v>
      </c>
      <c r="G21" s="20">
        <f t="shared" si="4"/>
        <v>600000</v>
      </c>
      <c r="H21" s="20">
        <v>1</v>
      </c>
      <c r="I21" s="20">
        <f t="shared" si="5"/>
        <v>600000</v>
      </c>
      <c r="J21" s="20"/>
      <c r="K21" s="20"/>
      <c r="L21" s="20"/>
      <c r="M21" s="20">
        <v>600000</v>
      </c>
      <c r="N21" s="20"/>
      <c r="O21" s="20"/>
      <c r="P21" s="20"/>
      <c r="Q21" s="20"/>
      <c r="R21" s="20"/>
      <c r="S21" s="20"/>
      <c r="T21" s="20"/>
      <c r="U21" s="20"/>
      <c r="V21" s="22">
        <f t="shared" si="7"/>
        <v>600000</v>
      </c>
      <c r="W21" s="22">
        <f t="shared" si="8"/>
        <v>162000</v>
      </c>
      <c r="X21" s="22">
        <f t="shared" si="9"/>
        <v>762000</v>
      </c>
    </row>
    <row r="22" spans="2:24" ht="15">
      <c r="B22" s="30" t="s">
        <v>47</v>
      </c>
      <c r="C22" s="19" t="s">
        <v>46</v>
      </c>
      <c r="D22" s="19" t="s">
        <v>287</v>
      </c>
      <c r="E22" s="22">
        <v>2000000</v>
      </c>
      <c r="F22" s="19">
        <v>1</v>
      </c>
      <c r="G22" s="20">
        <f t="shared" si="4"/>
        <v>2000000</v>
      </c>
      <c r="H22" s="20">
        <v>12</v>
      </c>
      <c r="I22" s="20">
        <f t="shared" si="5"/>
        <v>24000000</v>
      </c>
      <c r="J22" s="20">
        <v>2000000</v>
      </c>
      <c r="K22" s="20">
        <v>2000000</v>
      </c>
      <c r="L22" s="20">
        <v>2000000</v>
      </c>
      <c r="M22" s="20">
        <v>2000000</v>
      </c>
      <c r="N22" s="20">
        <v>2000000</v>
      </c>
      <c r="O22" s="20">
        <v>2000000</v>
      </c>
      <c r="P22" s="20">
        <v>2000000</v>
      </c>
      <c r="Q22" s="20">
        <v>2000000</v>
      </c>
      <c r="R22" s="20">
        <v>2000000</v>
      </c>
      <c r="S22" s="20">
        <v>2000000</v>
      </c>
      <c r="T22" s="20">
        <v>2000000</v>
      </c>
      <c r="U22" s="20">
        <v>2000000</v>
      </c>
      <c r="V22" s="22">
        <f t="shared" si="7"/>
        <v>24000000</v>
      </c>
      <c r="W22" s="22">
        <f t="shared" si="8"/>
        <v>6480000</v>
      </c>
      <c r="X22" s="22">
        <f t="shared" si="9"/>
        <v>30480000</v>
      </c>
    </row>
    <row r="23" spans="2:24" ht="15">
      <c r="B23" s="30" t="s">
        <v>49</v>
      </c>
      <c r="C23" s="19" t="s">
        <v>269</v>
      </c>
      <c r="D23" s="19" t="s">
        <v>288</v>
      </c>
      <c r="E23" s="22">
        <v>32000</v>
      </c>
      <c r="F23" s="19">
        <v>2</v>
      </c>
      <c r="G23" s="20">
        <f t="shared" si="4"/>
        <v>64000</v>
      </c>
      <c r="H23" s="20">
        <v>12</v>
      </c>
      <c r="I23" s="20">
        <f t="shared" si="5"/>
        <v>768000</v>
      </c>
      <c r="J23" s="20">
        <f t="shared" ref="J23:U23" si="12">32000*2</f>
        <v>64000</v>
      </c>
      <c r="K23" s="20">
        <f t="shared" si="12"/>
        <v>64000</v>
      </c>
      <c r="L23" s="20">
        <f t="shared" si="12"/>
        <v>64000</v>
      </c>
      <c r="M23" s="20">
        <f t="shared" si="12"/>
        <v>64000</v>
      </c>
      <c r="N23" s="20">
        <f t="shared" si="12"/>
        <v>64000</v>
      </c>
      <c r="O23" s="20">
        <f t="shared" si="12"/>
        <v>64000</v>
      </c>
      <c r="P23" s="20">
        <f t="shared" si="12"/>
        <v>64000</v>
      </c>
      <c r="Q23" s="20">
        <f t="shared" si="12"/>
        <v>64000</v>
      </c>
      <c r="R23" s="20">
        <f t="shared" si="12"/>
        <v>64000</v>
      </c>
      <c r="S23" s="20">
        <f t="shared" si="12"/>
        <v>64000</v>
      </c>
      <c r="T23" s="20">
        <f t="shared" si="12"/>
        <v>64000</v>
      </c>
      <c r="U23" s="20">
        <f t="shared" si="12"/>
        <v>64000</v>
      </c>
      <c r="V23" s="22">
        <f t="shared" si="7"/>
        <v>768000</v>
      </c>
      <c r="W23" s="22">
        <f t="shared" si="8"/>
        <v>207360</v>
      </c>
      <c r="X23" s="22">
        <f t="shared" si="9"/>
        <v>975360</v>
      </c>
    </row>
    <row r="24" spans="2:24" ht="15">
      <c r="B24" s="30"/>
      <c r="C24" s="7"/>
      <c r="D24" s="7"/>
      <c r="E24" s="34"/>
      <c r="F24" s="32"/>
      <c r="G24" s="35"/>
      <c r="H24" s="48"/>
      <c r="I24" s="48"/>
      <c r="J24" s="282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</row>
    <row r="25" spans="2:24" s="40" customFormat="1" ht="15">
      <c r="B25" s="37">
        <v>3</v>
      </c>
      <c r="C25" s="38" t="s">
        <v>51</v>
      </c>
      <c r="D25" s="38"/>
      <c r="E25" s="15"/>
      <c r="F25" s="39"/>
      <c r="G25" s="15"/>
      <c r="H25" s="15"/>
      <c r="I25" s="15"/>
      <c r="J25" s="15">
        <f t="shared" ref="J25:T25" si="13">SUM(J26:J42)</f>
        <v>13133156.333333334</v>
      </c>
      <c r="K25" s="15">
        <f t="shared" si="13"/>
        <v>12206186.636363637</v>
      </c>
      <c r="L25" s="15">
        <f t="shared" si="13"/>
        <v>12556186.636363637</v>
      </c>
      <c r="M25" s="15">
        <f t="shared" si="13"/>
        <v>10806186.636363637</v>
      </c>
      <c r="N25" s="15">
        <f t="shared" si="13"/>
        <v>9769519.9696969688</v>
      </c>
      <c r="O25" s="15">
        <f t="shared" si="13"/>
        <v>8806186.6363636367</v>
      </c>
      <c r="P25" s="15">
        <f t="shared" si="13"/>
        <v>9156186.6363636367</v>
      </c>
      <c r="Q25" s="15">
        <f t="shared" si="13"/>
        <v>8806186.6363636367</v>
      </c>
      <c r="R25" s="15">
        <f t="shared" si="13"/>
        <v>9389519.9696969688</v>
      </c>
      <c r="S25" s="15">
        <f t="shared" si="13"/>
        <v>8806186.6363636367</v>
      </c>
      <c r="T25" s="15">
        <f t="shared" si="13"/>
        <v>9156186.6363636367</v>
      </c>
      <c r="U25" s="15"/>
      <c r="V25" s="15"/>
      <c r="W25" s="15"/>
      <c r="X25" s="15"/>
    </row>
    <row r="26" spans="2:24" ht="16.5" customHeight="1">
      <c r="B26" s="30" t="s">
        <v>52</v>
      </c>
      <c r="C26" s="19" t="s">
        <v>55</v>
      </c>
      <c r="D26" s="19" t="s">
        <v>289</v>
      </c>
      <c r="E26" s="22">
        <v>311823</v>
      </c>
      <c r="F26" s="19">
        <v>1</v>
      </c>
      <c r="G26" s="20">
        <f t="shared" ref="G26:G34" si="14">E26*F26</f>
        <v>311823</v>
      </c>
      <c r="H26" s="20">
        <v>12</v>
      </c>
      <c r="I26" s="20">
        <f t="shared" ref="I26:I34" si="15">+G26*H26</f>
        <v>3741876</v>
      </c>
      <c r="J26" s="20">
        <v>311823</v>
      </c>
      <c r="K26" s="20">
        <f>+[1]Rezsiköltségek!E15</f>
        <v>311823</v>
      </c>
      <c r="L26" s="20">
        <f t="shared" ref="L26:U26" si="16">+K26</f>
        <v>311823</v>
      </c>
      <c r="M26" s="20">
        <f t="shared" si="16"/>
        <v>311823</v>
      </c>
      <c r="N26" s="20">
        <f t="shared" si="16"/>
        <v>311823</v>
      </c>
      <c r="O26" s="20">
        <f t="shared" si="16"/>
        <v>311823</v>
      </c>
      <c r="P26" s="20">
        <f t="shared" si="16"/>
        <v>311823</v>
      </c>
      <c r="Q26" s="20">
        <f t="shared" si="16"/>
        <v>311823</v>
      </c>
      <c r="R26" s="20">
        <f t="shared" si="16"/>
        <v>311823</v>
      </c>
      <c r="S26" s="20">
        <f t="shared" si="16"/>
        <v>311823</v>
      </c>
      <c r="T26" s="20">
        <f t="shared" si="16"/>
        <v>311823</v>
      </c>
      <c r="U26" s="20">
        <f t="shared" si="16"/>
        <v>311823</v>
      </c>
      <c r="V26" s="20">
        <f t="shared" ref="V26:V37" si="17">SUM(J26:U26)</f>
        <v>3741876</v>
      </c>
      <c r="W26" s="22">
        <v>0</v>
      </c>
      <c r="X26" s="20">
        <f>+W26+V26</f>
        <v>3741876</v>
      </c>
    </row>
    <row r="27" spans="2:24" ht="16.5" customHeight="1">
      <c r="B27" s="30" t="s">
        <v>54</v>
      </c>
      <c r="C27" s="19" t="s">
        <v>204</v>
      </c>
      <c r="D27" s="19" t="s">
        <v>287</v>
      </c>
      <c r="E27" s="22">
        <v>200000</v>
      </c>
      <c r="F27" s="19">
        <v>1</v>
      </c>
      <c r="G27" s="20">
        <f t="shared" si="14"/>
        <v>200000</v>
      </c>
      <c r="H27" s="20">
        <v>12</v>
      </c>
      <c r="I27" s="20">
        <f t="shared" si="15"/>
        <v>2400000</v>
      </c>
      <c r="J27" s="20">
        <v>200000</v>
      </c>
      <c r="K27" s="20">
        <v>200000</v>
      </c>
      <c r="L27" s="20">
        <v>200000</v>
      </c>
      <c r="M27" s="20">
        <v>200000</v>
      </c>
      <c r="N27" s="20">
        <v>200000</v>
      </c>
      <c r="O27" s="20">
        <v>200000</v>
      </c>
      <c r="P27" s="20">
        <v>200000</v>
      </c>
      <c r="Q27" s="20">
        <v>200000</v>
      </c>
      <c r="R27" s="20">
        <v>200000</v>
      </c>
      <c r="S27" s="20">
        <v>200000</v>
      </c>
      <c r="T27" s="20">
        <v>200000</v>
      </c>
      <c r="U27" s="20">
        <v>200000</v>
      </c>
      <c r="V27" s="20">
        <f t="shared" si="17"/>
        <v>2400000</v>
      </c>
      <c r="W27" s="22"/>
      <c r="X27" s="522">
        <f t="shared" ref="X27:X29" si="18">+W27+V27</f>
        <v>2400000</v>
      </c>
    </row>
    <row r="28" spans="2:24" ht="16.5" customHeight="1">
      <c r="B28" s="30" t="s">
        <v>56</v>
      </c>
      <c r="C28" s="19" t="s">
        <v>290</v>
      </c>
      <c r="D28" s="19" t="s">
        <v>383</v>
      </c>
      <c r="E28" s="22">
        <v>15000</v>
      </c>
      <c r="F28" s="19">
        <v>25</v>
      </c>
      <c r="G28" s="20">
        <f t="shared" si="14"/>
        <v>375000</v>
      </c>
      <c r="H28" s="20">
        <v>12</v>
      </c>
      <c r="I28" s="20">
        <f t="shared" si="15"/>
        <v>4500000</v>
      </c>
      <c r="J28" s="20">
        <f>+G28</f>
        <v>375000</v>
      </c>
      <c r="K28" s="20">
        <v>375000</v>
      </c>
      <c r="L28" s="20">
        <v>375000</v>
      </c>
      <c r="M28" s="20">
        <v>375000</v>
      </c>
      <c r="N28" s="20">
        <v>375000</v>
      </c>
      <c r="O28" s="20">
        <v>375000</v>
      </c>
      <c r="P28" s="20">
        <v>375000</v>
      </c>
      <c r="Q28" s="20">
        <v>375000</v>
      </c>
      <c r="R28" s="20">
        <v>375000</v>
      </c>
      <c r="S28" s="20">
        <v>375000</v>
      </c>
      <c r="T28" s="20">
        <v>375000</v>
      </c>
      <c r="U28" s="20">
        <v>375000</v>
      </c>
      <c r="V28" s="20">
        <f t="shared" si="17"/>
        <v>4500000</v>
      </c>
      <c r="W28" s="22"/>
      <c r="X28" s="522">
        <f t="shared" si="18"/>
        <v>4500000</v>
      </c>
    </row>
    <row r="29" spans="2:24" ht="16.5" customHeight="1">
      <c r="B29" s="30" t="s">
        <v>58</v>
      </c>
      <c r="C29" s="19" t="s">
        <v>291</v>
      </c>
      <c r="D29" s="19" t="s">
        <v>292</v>
      </c>
      <c r="E29" s="22">
        <v>11000</v>
      </c>
      <c r="F29" s="19">
        <v>8</v>
      </c>
      <c r="G29" s="20">
        <f t="shared" si="14"/>
        <v>88000</v>
      </c>
      <c r="H29" s="20">
        <v>12</v>
      </c>
      <c r="I29" s="20">
        <f t="shared" si="15"/>
        <v>1056000</v>
      </c>
      <c r="J29" s="20">
        <v>88000</v>
      </c>
      <c r="K29" s="20">
        <v>88000</v>
      </c>
      <c r="L29" s="20">
        <v>88000</v>
      </c>
      <c r="M29" s="20">
        <v>88000</v>
      </c>
      <c r="N29" s="20">
        <v>88000</v>
      </c>
      <c r="O29" s="20">
        <v>88000</v>
      </c>
      <c r="P29" s="20">
        <v>88000</v>
      </c>
      <c r="Q29" s="20">
        <v>88000</v>
      </c>
      <c r="R29" s="20">
        <v>88000</v>
      </c>
      <c r="S29" s="20">
        <v>88000</v>
      </c>
      <c r="T29" s="20">
        <v>88000</v>
      </c>
      <c r="U29" s="20">
        <v>88000</v>
      </c>
      <c r="V29" s="20">
        <f t="shared" si="17"/>
        <v>1056000</v>
      </c>
      <c r="W29" s="22"/>
      <c r="X29" s="522">
        <f t="shared" si="18"/>
        <v>1056000</v>
      </c>
    </row>
    <row r="30" spans="2:24" ht="16.5" customHeight="1">
      <c r="B30" s="30" t="s">
        <v>60</v>
      </c>
      <c r="C30" s="19" t="s">
        <v>92</v>
      </c>
      <c r="D30" s="19" t="s">
        <v>293</v>
      </c>
      <c r="E30" s="22">
        <v>150000</v>
      </c>
      <c r="F30" s="19">
        <v>1</v>
      </c>
      <c r="G30" s="20">
        <f t="shared" si="14"/>
        <v>150000</v>
      </c>
      <c r="H30" s="20">
        <v>12</v>
      </c>
      <c r="I30" s="20">
        <f t="shared" si="15"/>
        <v>1800000</v>
      </c>
      <c r="J30" s="20">
        <v>150000</v>
      </c>
      <c r="K30" s="20">
        <v>150000</v>
      </c>
      <c r="L30" s="20">
        <v>150000</v>
      </c>
      <c r="M30" s="20">
        <v>150000</v>
      </c>
      <c r="N30" s="20">
        <v>150000</v>
      </c>
      <c r="O30" s="20">
        <v>150000</v>
      </c>
      <c r="P30" s="20">
        <v>150000</v>
      </c>
      <c r="Q30" s="20">
        <v>150000</v>
      </c>
      <c r="R30" s="20">
        <v>150000</v>
      </c>
      <c r="S30" s="20">
        <v>150000</v>
      </c>
      <c r="T30" s="20">
        <v>150000</v>
      </c>
      <c r="U30" s="20">
        <v>150000</v>
      </c>
      <c r="V30" s="20">
        <f t="shared" si="17"/>
        <v>1800000</v>
      </c>
      <c r="W30" s="22">
        <f t="shared" ref="W30:W34" si="19">+V30*0.27</f>
        <v>486000.00000000006</v>
      </c>
      <c r="X30" s="20">
        <f t="shared" ref="X30:X34" si="20">+W30+V30</f>
        <v>2286000</v>
      </c>
    </row>
    <row r="31" spans="2:24" ht="15">
      <c r="B31" s="30" t="s">
        <v>62</v>
      </c>
      <c r="C31" s="19" t="s">
        <v>93</v>
      </c>
      <c r="D31" s="19" t="s">
        <v>294</v>
      </c>
      <c r="E31" s="22">
        <v>450000</v>
      </c>
      <c r="F31" s="19">
        <v>1</v>
      </c>
      <c r="G31" s="20">
        <f t="shared" si="14"/>
        <v>450000</v>
      </c>
      <c r="H31" s="20">
        <v>12</v>
      </c>
      <c r="I31" s="20">
        <f t="shared" si="15"/>
        <v>5400000</v>
      </c>
      <c r="J31" s="20">
        <v>450000</v>
      </c>
      <c r="K31" s="20">
        <v>450000</v>
      </c>
      <c r="L31" s="20">
        <v>450000</v>
      </c>
      <c r="M31" s="20">
        <v>450000</v>
      </c>
      <c r="N31" s="20">
        <v>450000</v>
      </c>
      <c r="O31" s="20">
        <v>450000</v>
      </c>
      <c r="P31" s="20">
        <v>450000</v>
      </c>
      <c r="Q31" s="20">
        <v>450000</v>
      </c>
      <c r="R31" s="20">
        <v>450000</v>
      </c>
      <c r="S31" s="20">
        <v>450000</v>
      </c>
      <c r="T31" s="20">
        <v>450000</v>
      </c>
      <c r="U31" s="20">
        <v>450000</v>
      </c>
      <c r="V31" s="20">
        <f t="shared" si="17"/>
        <v>5400000</v>
      </c>
      <c r="W31" s="22">
        <f t="shared" si="19"/>
        <v>1458000</v>
      </c>
      <c r="X31" s="20">
        <f t="shared" si="20"/>
        <v>6858000</v>
      </c>
    </row>
    <row r="32" spans="2:24" s="167" customFormat="1" ht="16.5" customHeight="1">
      <c r="B32" s="30" t="s">
        <v>65</v>
      </c>
      <c r="C32" s="19" t="s">
        <v>61</v>
      </c>
      <c r="D32" s="19" t="s">
        <v>295</v>
      </c>
      <c r="E32" s="22">
        <v>1000000</v>
      </c>
      <c r="F32" s="19">
        <v>1</v>
      </c>
      <c r="G32" s="522">
        <v>1000000</v>
      </c>
      <c r="H32" s="522">
        <v>12</v>
      </c>
      <c r="I32" s="522">
        <f t="shared" si="15"/>
        <v>12000000</v>
      </c>
      <c r="J32" s="522">
        <v>1000000</v>
      </c>
      <c r="K32" s="522">
        <v>1000000</v>
      </c>
      <c r="L32" s="522">
        <v>1000000</v>
      </c>
      <c r="M32" s="522">
        <v>1000000</v>
      </c>
      <c r="N32" s="522">
        <v>1000000</v>
      </c>
      <c r="O32" s="522">
        <v>1000000</v>
      </c>
      <c r="P32" s="522">
        <v>1000000</v>
      </c>
      <c r="Q32" s="522">
        <v>1000000</v>
      </c>
      <c r="R32" s="522">
        <v>1000000</v>
      </c>
      <c r="S32" s="522">
        <v>1000000</v>
      </c>
      <c r="T32" s="522">
        <v>1000000</v>
      </c>
      <c r="U32" s="522">
        <v>1000000</v>
      </c>
      <c r="V32" s="522">
        <f t="shared" si="17"/>
        <v>12000000</v>
      </c>
      <c r="W32" s="22">
        <f t="shared" si="19"/>
        <v>3240000</v>
      </c>
      <c r="X32" s="522">
        <f t="shared" si="20"/>
        <v>15240000</v>
      </c>
    </row>
    <row r="33" spans="2:25" ht="15">
      <c r="B33" s="30" t="s">
        <v>67</v>
      </c>
      <c r="C33" s="19" t="s">
        <v>94</v>
      </c>
      <c r="D33" s="19" t="s">
        <v>296</v>
      </c>
      <c r="E33" s="22">
        <v>45000</v>
      </c>
      <c r="F33" s="19">
        <v>1</v>
      </c>
      <c r="G33" s="20">
        <f t="shared" si="14"/>
        <v>45000</v>
      </c>
      <c r="H33" s="20">
        <v>12</v>
      </c>
      <c r="I33" s="20">
        <f t="shared" si="15"/>
        <v>540000</v>
      </c>
      <c r="J33" s="20">
        <v>45000</v>
      </c>
      <c r="K33" s="20">
        <v>45000</v>
      </c>
      <c r="L33" s="20">
        <v>45000</v>
      </c>
      <c r="M33" s="20">
        <v>45000</v>
      </c>
      <c r="N33" s="20">
        <v>45000</v>
      </c>
      <c r="O33" s="20">
        <v>45000</v>
      </c>
      <c r="P33" s="20">
        <v>45000</v>
      </c>
      <c r="Q33" s="20">
        <v>45000</v>
      </c>
      <c r="R33" s="20">
        <v>45000</v>
      </c>
      <c r="S33" s="20">
        <v>45000</v>
      </c>
      <c r="T33" s="20">
        <v>45000</v>
      </c>
      <c r="U33" s="20">
        <v>45000</v>
      </c>
      <c r="V33" s="20">
        <f t="shared" si="17"/>
        <v>540000</v>
      </c>
      <c r="W33" s="22">
        <f t="shared" si="19"/>
        <v>145800</v>
      </c>
      <c r="X33" s="20">
        <f t="shared" si="20"/>
        <v>685800</v>
      </c>
    </row>
    <row r="34" spans="2:25" ht="16.5" customHeight="1">
      <c r="B34" s="30" t="s">
        <v>69</v>
      </c>
      <c r="C34" s="19" t="s">
        <v>70</v>
      </c>
      <c r="D34" s="19" t="s">
        <v>297</v>
      </c>
      <c r="E34" s="22">
        <v>300000</v>
      </c>
      <c r="F34" s="19">
        <v>1</v>
      </c>
      <c r="G34" s="20">
        <f t="shared" si="14"/>
        <v>300000</v>
      </c>
      <c r="H34" s="20">
        <v>12</v>
      </c>
      <c r="I34" s="20">
        <f t="shared" si="15"/>
        <v>3600000</v>
      </c>
      <c r="J34" s="20">
        <v>300000</v>
      </c>
      <c r="K34" s="20">
        <v>300000</v>
      </c>
      <c r="L34" s="20">
        <v>300000</v>
      </c>
      <c r="M34" s="20">
        <v>300000</v>
      </c>
      <c r="N34" s="20">
        <v>300000</v>
      </c>
      <c r="O34" s="20">
        <v>300000</v>
      </c>
      <c r="P34" s="20">
        <v>300000</v>
      </c>
      <c r="Q34" s="20">
        <v>300000</v>
      </c>
      <c r="R34" s="20">
        <v>300000</v>
      </c>
      <c r="S34" s="20">
        <v>300000</v>
      </c>
      <c r="T34" s="20">
        <v>300000</v>
      </c>
      <c r="U34" s="20">
        <v>300000</v>
      </c>
      <c r="V34" s="20">
        <f t="shared" si="17"/>
        <v>3600000</v>
      </c>
      <c r="W34" s="22">
        <f t="shared" si="19"/>
        <v>972000.00000000012</v>
      </c>
      <c r="X34" s="20">
        <f t="shared" si="20"/>
        <v>4572000</v>
      </c>
    </row>
    <row r="35" spans="2:25" ht="16.5" customHeight="1">
      <c r="B35" s="30" t="s">
        <v>71</v>
      </c>
      <c r="C35" s="19" t="s">
        <v>271</v>
      </c>
      <c r="D35" s="19" t="s">
        <v>298</v>
      </c>
      <c r="E35" s="22"/>
      <c r="F35" s="19">
        <v>1</v>
      </c>
      <c r="G35" s="20"/>
      <c r="H35" s="20">
        <v>12</v>
      </c>
      <c r="I35" s="20">
        <f>SUM(J35:U35)</f>
        <v>16900000</v>
      </c>
      <c r="J35" s="20">
        <f>1000000+1400000+(700000/3)</f>
        <v>2633333.3333333335</v>
      </c>
      <c r="K35" s="20">
        <f>1000000+1400000</f>
        <v>2400000</v>
      </c>
      <c r="L35" s="20">
        <f>1000000+1400000</f>
        <v>2400000</v>
      </c>
      <c r="M35" s="20">
        <f>1000000</f>
        <v>1000000</v>
      </c>
      <c r="N35" s="20">
        <f>1000000+(700000/3)</f>
        <v>1233333.3333333333</v>
      </c>
      <c r="O35" s="20">
        <f>1000000</f>
        <v>1000000</v>
      </c>
      <c r="P35" s="20">
        <f>1000000</f>
        <v>1000000</v>
      </c>
      <c r="Q35" s="20">
        <f>1000000</f>
        <v>1000000</v>
      </c>
      <c r="R35" s="20">
        <f>1000000+(700000/3)</f>
        <v>1233333.3333333333</v>
      </c>
      <c r="S35" s="20">
        <f>1000000</f>
        <v>1000000</v>
      </c>
      <c r="T35" s="20">
        <f>1000000</f>
        <v>1000000</v>
      </c>
      <c r="U35" s="20">
        <f>1000000</f>
        <v>1000000</v>
      </c>
      <c r="V35" s="20">
        <f t="shared" si="17"/>
        <v>16900000</v>
      </c>
      <c r="W35" s="22"/>
      <c r="X35" s="20"/>
    </row>
    <row r="36" spans="2:25" ht="15">
      <c r="B36" s="30" t="s">
        <v>73</v>
      </c>
      <c r="C36" s="19" t="s">
        <v>95</v>
      </c>
      <c r="D36" s="19" t="s">
        <v>299</v>
      </c>
      <c r="E36" s="22">
        <v>1340000</v>
      </c>
      <c r="F36" s="19">
        <v>1</v>
      </c>
      <c r="G36" s="20">
        <f>E36*F36</f>
        <v>1340000</v>
      </c>
      <c r="H36" s="20">
        <v>12</v>
      </c>
      <c r="I36" s="20">
        <f>+H36*G36</f>
        <v>16080000</v>
      </c>
      <c r="J36" s="20">
        <f t="shared" ref="J36:U36" si="21">340000+1000000</f>
        <v>1340000</v>
      </c>
      <c r="K36" s="20">
        <f t="shared" si="21"/>
        <v>1340000</v>
      </c>
      <c r="L36" s="20">
        <f t="shared" si="21"/>
        <v>1340000</v>
      </c>
      <c r="M36" s="20">
        <f t="shared" si="21"/>
        <v>1340000</v>
      </c>
      <c r="N36" s="20">
        <f t="shared" si="21"/>
        <v>1340000</v>
      </c>
      <c r="O36" s="20">
        <f t="shared" si="21"/>
        <v>1340000</v>
      </c>
      <c r="P36" s="20">
        <f t="shared" si="21"/>
        <v>1340000</v>
      </c>
      <c r="Q36" s="20">
        <f t="shared" si="21"/>
        <v>1340000</v>
      </c>
      <c r="R36" s="20">
        <f t="shared" si="21"/>
        <v>1340000</v>
      </c>
      <c r="S36" s="20">
        <f t="shared" si="21"/>
        <v>1340000</v>
      </c>
      <c r="T36" s="20">
        <f t="shared" si="21"/>
        <v>1340000</v>
      </c>
      <c r="U36" s="20">
        <f t="shared" si="21"/>
        <v>1340000</v>
      </c>
      <c r="V36" s="20">
        <f t="shared" si="17"/>
        <v>16080000</v>
      </c>
      <c r="W36" s="22">
        <f>+V36*0.27</f>
        <v>4341600</v>
      </c>
      <c r="X36" s="20">
        <f>+W36+V36</f>
        <v>20421600</v>
      </c>
    </row>
    <row r="37" spans="2:25" ht="15">
      <c r="B37" s="30" t="s">
        <v>75</v>
      </c>
      <c r="C37" s="19" t="s">
        <v>74</v>
      </c>
      <c r="D37" s="19" t="s">
        <v>300</v>
      </c>
      <c r="E37" s="22">
        <v>4000</v>
      </c>
      <c r="F37" s="19">
        <v>65</v>
      </c>
      <c r="G37" s="20">
        <f>+E37*F37</f>
        <v>260000</v>
      </c>
      <c r="H37" s="20">
        <v>12</v>
      </c>
      <c r="I37" s="20">
        <f>+G37*H37</f>
        <v>3120000</v>
      </c>
      <c r="J37" s="20">
        <f>65*4000</f>
        <v>260000</v>
      </c>
      <c r="K37" s="20">
        <f>65*4000</f>
        <v>260000</v>
      </c>
      <c r="L37" s="20">
        <f>65*4000</f>
        <v>260000</v>
      </c>
      <c r="M37" s="20">
        <f>65*4000</f>
        <v>260000</v>
      </c>
      <c r="N37" s="20">
        <f>(65*4000)</f>
        <v>260000</v>
      </c>
      <c r="O37" s="20">
        <f t="shared" ref="O37:U37" si="22">65*4000</f>
        <v>260000</v>
      </c>
      <c r="P37" s="20">
        <f t="shared" si="22"/>
        <v>260000</v>
      </c>
      <c r="Q37" s="20">
        <f t="shared" si="22"/>
        <v>260000</v>
      </c>
      <c r="R37" s="20">
        <f t="shared" si="22"/>
        <v>260000</v>
      </c>
      <c r="S37" s="20">
        <f t="shared" si="22"/>
        <v>260000</v>
      </c>
      <c r="T37" s="20">
        <f t="shared" si="22"/>
        <v>260000</v>
      </c>
      <c r="U37" s="20">
        <f t="shared" si="22"/>
        <v>260000</v>
      </c>
      <c r="V37" s="20">
        <f t="shared" si="17"/>
        <v>3120000</v>
      </c>
      <c r="W37" s="22">
        <f>+V37*0.27</f>
        <v>842400</v>
      </c>
      <c r="X37" s="20">
        <f>+W37+V37</f>
        <v>3962400</v>
      </c>
    </row>
    <row r="38" spans="2:25" ht="15">
      <c r="B38" s="30" t="s">
        <v>96</v>
      </c>
      <c r="C38" s="19" t="s">
        <v>301</v>
      </c>
      <c r="D38" s="19" t="s">
        <v>302</v>
      </c>
      <c r="E38" s="22">
        <v>380000</v>
      </c>
      <c r="F38" s="19">
        <v>1</v>
      </c>
      <c r="G38" s="20">
        <f>+E38*F38</f>
        <v>380000</v>
      </c>
      <c r="H38" s="20">
        <v>1</v>
      </c>
      <c r="I38" s="20">
        <f>+G38*H38</f>
        <v>380000</v>
      </c>
      <c r="J38" s="20"/>
      <c r="K38" s="20"/>
      <c r="L38" s="20"/>
      <c r="M38" s="20"/>
      <c r="N38" s="20">
        <v>380000</v>
      </c>
      <c r="O38" s="20"/>
      <c r="P38" s="20"/>
      <c r="Q38" s="20"/>
      <c r="R38" s="20"/>
      <c r="S38" s="20"/>
      <c r="T38" s="20"/>
      <c r="U38" s="20"/>
      <c r="V38" s="20"/>
      <c r="W38" s="22"/>
      <c r="X38" s="20"/>
    </row>
    <row r="39" spans="2:25" ht="15">
      <c r="B39" s="30" t="s">
        <v>97</v>
      </c>
      <c r="C39" s="19" t="s">
        <v>106</v>
      </c>
      <c r="D39" s="19" t="s">
        <v>303</v>
      </c>
      <c r="E39" s="22"/>
      <c r="F39" s="19"/>
      <c r="G39" s="20"/>
      <c r="H39" s="20">
        <v>12</v>
      </c>
      <c r="I39" s="20">
        <f>18000000+1980000</f>
        <v>19980000</v>
      </c>
      <c r="J39" s="20">
        <v>1980000</v>
      </c>
      <c r="K39" s="20">
        <f t="shared" ref="K39:U39" si="23">18000000/11</f>
        <v>1636363.6363636365</v>
      </c>
      <c r="L39" s="20">
        <f t="shared" si="23"/>
        <v>1636363.6363636365</v>
      </c>
      <c r="M39" s="20">
        <f t="shared" si="23"/>
        <v>1636363.6363636365</v>
      </c>
      <c r="N39" s="20">
        <f t="shared" si="23"/>
        <v>1636363.6363636365</v>
      </c>
      <c r="O39" s="20">
        <f t="shared" si="23"/>
        <v>1636363.6363636365</v>
      </c>
      <c r="P39" s="20">
        <f t="shared" si="23"/>
        <v>1636363.6363636365</v>
      </c>
      <c r="Q39" s="20">
        <f t="shared" si="23"/>
        <v>1636363.6363636365</v>
      </c>
      <c r="R39" s="20">
        <f t="shared" si="23"/>
        <v>1636363.6363636365</v>
      </c>
      <c r="S39" s="20">
        <f t="shared" si="23"/>
        <v>1636363.6363636365</v>
      </c>
      <c r="T39" s="20">
        <f t="shared" si="23"/>
        <v>1636363.6363636365</v>
      </c>
      <c r="U39" s="20">
        <f t="shared" si="23"/>
        <v>1636363.6363636365</v>
      </c>
      <c r="V39" s="20">
        <f>SUM(J39:U39)</f>
        <v>19980000.000000004</v>
      </c>
      <c r="W39" s="22"/>
      <c r="X39" s="20"/>
    </row>
    <row r="40" spans="2:25" ht="15">
      <c r="B40" s="30" t="s">
        <v>105</v>
      </c>
      <c r="C40" s="19" t="s">
        <v>304</v>
      </c>
      <c r="D40" s="19" t="s">
        <v>305</v>
      </c>
      <c r="E40" s="22">
        <f>1200000+450000</f>
        <v>1650000</v>
      </c>
      <c r="F40" s="19">
        <v>1</v>
      </c>
      <c r="G40" s="20">
        <f>E40*F40</f>
        <v>1650000</v>
      </c>
      <c r="H40" s="20">
        <v>12</v>
      </c>
      <c r="I40" s="20">
        <f>+H40*G40</f>
        <v>19800000</v>
      </c>
      <c r="J40" s="20">
        <f>1200000+450000+350000</f>
        <v>2000000</v>
      </c>
      <c r="K40" s="20">
        <f>1200000+450000</f>
        <v>1650000</v>
      </c>
      <c r="L40" s="20">
        <f>1200000+450000+350000</f>
        <v>2000000</v>
      </c>
      <c r="M40" s="20">
        <f t="shared" ref="M40:U40" si="24">1200000+450000</f>
        <v>1650000</v>
      </c>
      <c r="N40" s="20">
        <f t="shared" si="24"/>
        <v>1650000</v>
      </c>
      <c r="O40" s="20">
        <f t="shared" si="24"/>
        <v>1650000</v>
      </c>
      <c r="P40" s="20">
        <f t="shared" si="24"/>
        <v>1650000</v>
      </c>
      <c r="Q40" s="20">
        <f t="shared" si="24"/>
        <v>1650000</v>
      </c>
      <c r="R40" s="20">
        <f t="shared" si="24"/>
        <v>1650000</v>
      </c>
      <c r="S40" s="20">
        <f t="shared" si="24"/>
        <v>1650000</v>
      </c>
      <c r="T40" s="20">
        <f t="shared" si="24"/>
        <v>1650000</v>
      </c>
      <c r="U40" s="20">
        <f t="shared" si="24"/>
        <v>1650000</v>
      </c>
      <c r="V40" s="20">
        <f>SUM(J40:U40)</f>
        <v>20500000</v>
      </c>
      <c r="W40" s="22">
        <f>+V40*0.27</f>
        <v>5535000</v>
      </c>
      <c r="X40" s="20">
        <f>+W40+V40</f>
        <v>26035000</v>
      </c>
    </row>
    <row r="41" spans="2:25" ht="15">
      <c r="B41" s="30" t="s">
        <v>163</v>
      </c>
      <c r="C41" s="32" t="s">
        <v>306</v>
      </c>
      <c r="D41" s="32" t="s">
        <v>309</v>
      </c>
      <c r="E41" s="200">
        <v>350000</v>
      </c>
      <c r="F41" s="19">
        <v>1</v>
      </c>
      <c r="G41" s="20">
        <f>+F41*E41</f>
        <v>350000</v>
      </c>
      <c r="H41" s="20">
        <v>6</v>
      </c>
      <c r="I41" s="20">
        <f>+H41*G41</f>
        <v>2100000</v>
      </c>
      <c r="J41" s="20"/>
      <c r="K41" s="20"/>
      <c r="L41" s="20"/>
      <c r="M41" s="20"/>
      <c r="N41" s="33">
        <v>350000</v>
      </c>
      <c r="O41" s="33"/>
      <c r="P41" s="33">
        <v>350000</v>
      </c>
      <c r="Q41" s="33"/>
      <c r="R41" s="33">
        <v>350000</v>
      </c>
      <c r="S41" s="33"/>
      <c r="T41" s="33">
        <v>350000</v>
      </c>
      <c r="U41" s="33"/>
      <c r="V41" s="20"/>
      <c r="W41" s="22">
        <f t="shared" ref="W41:W43" si="25">+V41*0.27</f>
        <v>0</v>
      </c>
      <c r="X41" s="20">
        <f t="shared" ref="X41:X43" si="26">+W41+V41</f>
        <v>0</v>
      </c>
    </row>
    <row r="42" spans="2:25" ht="15">
      <c r="B42" s="30" t="s">
        <v>205</v>
      </c>
      <c r="C42" s="19" t="s">
        <v>108</v>
      </c>
      <c r="D42" s="32" t="s">
        <v>307</v>
      </c>
      <c r="E42" s="200">
        <v>2000000</v>
      </c>
      <c r="F42" s="22">
        <v>1</v>
      </c>
      <c r="G42" s="20">
        <f>+F42*E42</f>
        <v>2000000</v>
      </c>
      <c r="H42" s="19">
        <v>7</v>
      </c>
      <c r="I42" s="20">
        <f>+H42*G42</f>
        <v>14000000</v>
      </c>
      <c r="J42" s="20">
        <v>2000000</v>
      </c>
      <c r="K42" s="20">
        <v>2000000</v>
      </c>
      <c r="L42" s="20">
        <v>2000000</v>
      </c>
      <c r="M42" s="20">
        <v>2000000</v>
      </c>
      <c r="N42" s="20"/>
      <c r="O42" s="20"/>
      <c r="P42" s="20"/>
      <c r="Q42" s="20"/>
      <c r="R42" s="20"/>
      <c r="S42" s="20"/>
      <c r="T42" s="20"/>
      <c r="U42" s="20"/>
      <c r="V42" s="20">
        <f>SUM(J42:U42)</f>
        <v>8000000</v>
      </c>
      <c r="W42" s="22">
        <f t="shared" si="25"/>
        <v>2160000</v>
      </c>
      <c r="X42" s="20">
        <f t="shared" si="26"/>
        <v>10160000</v>
      </c>
      <c r="Y42" s="22"/>
    </row>
    <row r="43" spans="2:25" ht="15">
      <c r="B43" s="30" t="s">
        <v>392</v>
      </c>
      <c r="C43" s="47" t="s">
        <v>381</v>
      </c>
      <c r="D43" s="47" t="s">
        <v>382</v>
      </c>
      <c r="E43" s="200">
        <v>2000000</v>
      </c>
      <c r="F43" s="480">
        <v>1</v>
      </c>
      <c r="G43" s="20">
        <f>+F43*E43</f>
        <v>2000000</v>
      </c>
      <c r="H43" s="47">
        <v>7</v>
      </c>
      <c r="I43" s="20">
        <f>+H43*G43</f>
        <v>14000000</v>
      </c>
      <c r="J43" s="48">
        <v>2000000</v>
      </c>
      <c r="K43" s="48">
        <v>2000000</v>
      </c>
      <c r="L43" s="48">
        <v>2000000</v>
      </c>
      <c r="M43" s="48">
        <v>2000000</v>
      </c>
      <c r="N43" s="48"/>
      <c r="O43" s="48"/>
      <c r="P43" s="48"/>
      <c r="Q43" s="48"/>
      <c r="R43" s="48"/>
      <c r="S43" s="48"/>
      <c r="T43" s="48"/>
      <c r="U43" s="48"/>
      <c r="V43" s="20">
        <f>SUM(J43:U43)</f>
        <v>8000000</v>
      </c>
      <c r="W43" s="22">
        <f t="shared" si="25"/>
        <v>2160000</v>
      </c>
      <c r="X43" s="20">
        <f t="shared" si="26"/>
        <v>10160000</v>
      </c>
      <c r="Y43" s="480"/>
    </row>
    <row r="44" spans="2:25">
      <c r="E44" s="200"/>
    </row>
    <row r="45" spans="2:25" s="45" customFormat="1" ht="15">
      <c r="B45" s="41"/>
      <c r="C45" s="42" t="s">
        <v>99</v>
      </c>
      <c r="D45" s="42"/>
      <c r="E45" s="42"/>
      <c r="F45" s="42"/>
      <c r="G45" s="43"/>
      <c r="H45" s="43"/>
      <c r="I45" s="43"/>
      <c r="J45" s="44">
        <f t="shared" ref="J45:X45" si="27">+J25+J14+J6</f>
        <v>28847878.333333336</v>
      </c>
      <c r="K45" s="44">
        <f t="shared" si="27"/>
        <v>27920908.636363637</v>
      </c>
      <c r="L45" s="44">
        <f t="shared" si="27"/>
        <v>30253408.636363637</v>
      </c>
      <c r="M45" s="44">
        <f t="shared" si="27"/>
        <v>27079408.636363637</v>
      </c>
      <c r="N45" s="44">
        <f t="shared" si="27"/>
        <v>25442741.969696969</v>
      </c>
      <c r="O45" s="44">
        <f t="shared" si="27"/>
        <v>26281908.636363637</v>
      </c>
      <c r="P45" s="44">
        <f t="shared" si="27"/>
        <v>24849408.636363637</v>
      </c>
      <c r="Q45" s="44">
        <f t="shared" si="27"/>
        <v>24499408.636363637</v>
      </c>
      <c r="R45" s="44">
        <f t="shared" si="27"/>
        <v>27045241.969696969</v>
      </c>
      <c r="S45" s="44">
        <f t="shared" si="27"/>
        <v>24479408.636363637</v>
      </c>
      <c r="T45" s="44">
        <f t="shared" si="27"/>
        <v>24870908.636363637</v>
      </c>
      <c r="U45" s="44">
        <f t="shared" si="27"/>
        <v>15714722</v>
      </c>
      <c r="V45" s="44">
        <f t="shared" si="27"/>
        <v>0</v>
      </c>
      <c r="W45" s="44">
        <f t="shared" si="27"/>
        <v>0</v>
      </c>
      <c r="X45" s="44">
        <f t="shared" si="27"/>
        <v>0</v>
      </c>
    </row>
    <row r="46" spans="2:25" s="40" customFormat="1" ht="15">
      <c r="B46" s="46"/>
      <c r="C46" s="47"/>
      <c r="D46" s="47"/>
      <c r="E46" s="47"/>
      <c r="F46" s="47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</row>
    <row r="47" spans="2:25" ht="15">
      <c r="B47" s="49">
        <v>4</v>
      </c>
      <c r="C47" s="50" t="s">
        <v>77</v>
      </c>
      <c r="D47" s="50"/>
      <c r="E47" s="50"/>
      <c r="F47" s="50"/>
      <c r="G47" s="51">
        <f>SUM(G48:G49)</f>
        <v>805366.66666666674</v>
      </c>
      <c r="H47" s="51"/>
      <c r="I47" s="51"/>
      <c r="J47" s="52">
        <f t="shared" ref="J47:X47" si="28">SUM(J48:J49)</f>
        <v>0</v>
      </c>
      <c r="K47" s="52">
        <f t="shared" si="28"/>
        <v>0</v>
      </c>
      <c r="L47" s="52">
        <f t="shared" si="28"/>
        <v>0</v>
      </c>
      <c r="M47" s="52">
        <f t="shared" si="28"/>
        <v>0</v>
      </c>
      <c r="N47" s="52">
        <f t="shared" si="28"/>
        <v>0</v>
      </c>
      <c r="O47" s="52">
        <f t="shared" si="28"/>
        <v>4177004</v>
      </c>
      <c r="P47" s="52">
        <f t="shared" si="28"/>
        <v>0</v>
      </c>
      <c r="Q47" s="52">
        <f t="shared" si="28"/>
        <v>0</v>
      </c>
      <c r="R47" s="52">
        <f t="shared" si="28"/>
        <v>3754516</v>
      </c>
      <c r="S47" s="52">
        <f t="shared" si="28"/>
        <v>0</v>
      </c>
      <c r="T47" s="52">
        <f t="shared" si="28"/>
        <v>0</v>
      </c>
      <c r="U47" s="52">
        <f t="shared" si="28"/>
        <v>0</v>
      </c>
      <c r="V47" s="54">
        <f t="shared" si="28"/>
        <v>7931520</v>
      </c>
      <c r="W47" s="54">
        <f t="shared" si="28"/>
        <v>0</v>
      </c>
      <c r="X47" s="54">
        <f t="shared" si="28"/>
        <v>7931520</v>
      </c>
    </row>
    <row r="48" spans="2:25" s="57" customFormat="1" ht="15">
      <c r="B48" s="46" t="s">
        <v>78</v>
      </c>
      <c r="C48" s="56" t="s">
        <v>79</v>
      </c>
      <c r="D48" s="56"/>
      <c r="E48" s="19"/>
      <c r="F48" s="19"/>
      <c r="G48" s="20">
        <f>'[2]egyszeri kiadások'!K39/12</f>
        <v>642033.33333333337</v>
      </c>
      <c r="H48" s="20"/>
      <c r="I48" s="20"/>
      <c r="J48" s="20"/>
      <c r="K48" s="20"/>
      <c r="L48" s="20"/>
      <c r="M48" s="20"/>
      <c r="N48" s="20"/>
      <c r="O48" s="20">
        <f>515354+111192+445837+8341+2905402+190878</f>
        <v>4177004</v>
      </c>
      <c r="P48" s="20"/>
      <c r="Q48" s="20"/>
      <c r="R48" s="20">
        <f>165008+40024+160108+2995+1043376+75910+17838+66506+1244+433403+198367+97768+163898</f>
        <v>2466445</v>
      </c>
      <c r="S48" s="20"/>
      <c r="T48" s="20"/>
      <c r="U48" s="20"/>
      <c r="V48" s="20">
        <f>SUM(J48:U48)</f>
        <v>6643449</v>
      </c>
      <c r="W48" s="20"/>
      <c r="X48" s="20">
        <f>SUM(V48:W48)</f>
        <v>6643449</v>
      </c>
    </row>
    <row r="49" spans="2:126" ht="15">
      <c r="B49" s="46" t="s">
        <v>80</v>
      </c>
      <c r="C49" s="56" t="s">
        <v>81</v>
      </c>
      <c r="D49" s="56"/>
      <c r="E49" s="19"/>
      <c r="F49" s="19"/>
      <c r="G49" s="20">
        <f>'[2]egyszeri kiadások'!K40/12</f>
        <v>163333.33333333334</v>
      </c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>
        <v>1288071</v>
      </c>
      <c r="S49" s="20"/>
      <c r="T49" s="20"/>
      <c r="U49" s="20"/>
      <c r="V49" s="20">
        <f>SUM(J49:U49)</f>
        <v>1288071</v>
      </c>
      <c r="W49" s="20"/>
      <c r="X49" s="20">
        <f>SUM(V49:W49)</f>
        <v>1288071</v>
      </c>
    </row>
    <row r="50" spans="2:126" ht="15">
      <c r="B50" s="46"/>
      <c r="C50" s="47"/>
      <c r="D50" s="47"/>
      <c r="E50" s="47"/>
      <c r="F50" s="47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</row>
    <row r="51" spans="2:126" s="58" customFormat="1" ht="18.75" customHeight="1">
      <c r="C51" s="38" t="s">
        <v>82</v>
      </c>
      <c r="D51" s="38"/>
      <c r="E51" s="38"/>
      <c r="F51" s="38"/>
      <c r="G51" s="59"/>
      <c r="H51" s="59"/>
      <c r="I51" s="59"/>
      <c r="J51" s="59">
        <f t="shared" ref="J51:X51" si="29">+J47+J45</f>
        <v>28847878.333333336</v>
      </c>
      <c r="K51" s="59">
        <f t="shared" si="29"/>
        <v>27920908.636363637</v>
      </c>
      <c r="L51" s="59">
        <f t="shared" si="29"/>
        <v>30253408.636363637</v>
      </c>
      <c r="M51" s="59">
        <f t="shared" si="29"/>
        <v>27079408.636363637</v>
      </c>
      <c r="N51" s="59">
        <f t="shared" si="29"/>
        <v>25442741.969696969</v>
      </c>
      <c r="O51" s="59">
        <f t="shared" si="29"/>
        <v>30458912.636363637</v>
      </c>
      <c r="P51" s="59">
        <f t="shared" si="29"/>
        <v>24849408.636363637</v>
      </c>
      <c r="Q51" s="59">
        <f t="shared" si="29"/>
        <v>24499408.636363637</v>
      </c>
      <c r="R51" s="59">
        <f t="shared" si="29"/>
        <v>30799757.969696969</v>
      </c>
      <c r="S51" s="59">
        <f t="shared" si="29"/>
        <v>24479408.636363637</v>
      </c>
      <c r="T51" s="59">
        <f t="shared" si="29"/>
        <v>24870908.636363637</v>
      </c>
      <c r="U51" s="59">
        <f t="shared" si="29"/>
        <v>15714722</v>
      </c>
      <c r="V51" s="59">
        <f t="shared" si="29"/>
        <v>7931520</v>
      </c>
      <c r="W51" s="59">
        <f t="shared" si="29"/>
        <v>0</v>
      </c>
      <c r="X51" s="59">
        <f t="shared" si="29"/>
        <v>7931520</v>
      </c>
    </row>
    <row r="52" spans="2:126" s="284" customFormat="1" ht="12.75"/>
    <row r="53" spans="2:126" s="284" customFormat="1" ht="12.75">
      <c r="B53" s="420">
        <v>5</v>
      </c>
      <c r="C53" s="287" t="s">
        <v>272</v>
      </c>
      <c r="D53" s="285"/>
      <c r="E53" s="285"/>
      <c r="F53" s="285"/>
      <c r="G53" s="285"/>
      <c r="H53" s="285"/>
      <c r="I53" s="285">
        <f>SUM(D53:H53)</f>
        <v>0</v>
      </c>
      <c r="J53" s="285"/>
      <c r="K53" s="285"/>
      <c r="L53" s="285"/>
      <c r="M53" s="285"/>
      <c r="N53" s="285"/>
      <c r="O53" s="285"/>
      <c r="P53" s="285"/>
      <c r="Q53" s="285"/>
      <c r="R53" s="285"/>
      <c r="S53" s="285"/>
      <c r="T53" s="285"/>
      <c r="U53" s="285"/>
      <c r="V53" s="538">
        <f>SUM(V54:V56)</f>
        <v>20350000</v>
      </c>
      <c r="W53" s="538">
        <f>SUM(W54:W56)</f>
        <v>5494500</v>
      </c>
      <c r="X53" s="538">
        <f>SUM(V53:W53)</f>
        <v>25844500</v>
      </c>
    </row>
    <row r="54" spans="2:126" s="284" customFormat="1" ht="12.75">
      <c r="B54" s="481" t="s">
        <v>83</v>
      </c>
      <c r="C54" s="286" t="s">
        <v>308</v>
      </c>
      <c r="D54" s="285"/>
      <c r="E54" s="285"/>
      <c r="F54" s="285"/>
      <c r="G54" s="285"/>
      <c r="H54" s="285"/>
      <c r="I54" s="285"/>
      <c r="J54" s="285">
        <v>2600000</v>
      </c>
      <c r="K54" s="285"/>
      <c r="L54" s="285"/>
      <c r="M54" s="285"/>
      <c r="N54" s="285">
        <v>7500000</v>
      </c>
      <c r="O54" s="285"/>
      <c r="P54" s="285"/>
      <c r="Q54" s="285"/>
      <c r="R54" s="285"/>
      <c r="S54" s="285"/>
      <c r="T54" s="285"/>
      <c r="U54" s="285"/>
      <c r="V54" s="285">
        <f>SUM(J54:U54)</f>
        <v>10100000</v>
      </c>
      <c r="W54" s="428">
        <f>V54*0.27</f>
        <v>2727000</v>
      </c>
      <c r="X54" s="285">
        <f>SUM(V54:W54)</f>
        <v>12827000</v>
      </c>
    </row>
    <row r="55" spans="2:126" s="284" customFormat="1" ht="12.75">
      <c r="B55" s="372" t="s">
        <v>376</v>
      </c>
      <c r="C55" s="286" t="s">
        <v>377</v>
      </c>
      <c r="D55" s="285"/>
      <c r="E55" s="285">
        <v>150000</v>
      </c>
      <c r="F55" s="285">
        <v>55</v>
      </c>
      <c r="G55" s="285">
        <f>+F55*E55</f>
        <v>8250000</v>
      </c>
      <c r="H55" s="285"/>
      <c r="I55" s="285"/>
      <c r="J55" s="285"/>
      <c r="K55" s="285"/>
      <c r="L55" s="285"/>
      <c r="M55" s="285"/>
      <c r="N55" s="285"/>
      <c r="O55" s="285"/>
      <c r="P55" s="378"/>
      <c r="Q55" s="378"/>
      <c r="R55" s="378"/>
      <c r="S55" s="428"/>
      <c r="T55" s="428"/>
      <c r="U55" s="428"/>
      <c r="V55" s="428">
        <f>G55</f>
        <v>8250000</v>
      </c>
      <c r="W55" s="428">
        <f>V55*0.27</f>
        <v>2227500</v>
      </c>
      <c r="X55" s="285">
        <f t="shared" ref="X55:X56" si="30">SUM(V55:W55)</f>
        <v>10477500</v>
      </c>
      <c r="Y55" s="368"/>
      <c r="Z55" s="368"/>
      <c r="AA55" s="368"/>
      <c r="AB55" s="368"/>
      <c r="AC55" s="368"/>
      <c r="AD55" s="368"/>
      <c r="AE55" s="368"/>
      <c r="AF55" s="368"/>
      <c r="AG55" s="368"/>
      <c r="AH55" s="368"/>
      <c r="AI55" s="368"/>
      <c r="AJ55" s="368"/>
      <c r="AK55" s="368"/>
      <c r="AL55" s="368"/>
      <c r="AM55" s="368"/>
      <c r="AN55" s="368"/>
      <c r="AO55" s="368"/>
      <c r="AP55" s="368"/>
      <c r="AQ55" s="368"/>
      <c r="AR55" s="368"/>
      <c r="AS55" s="368"/>
      <c r="AT55" s="368"/>
      <c r="AU55" s="368"/>
      <c r="AV55" s="368"/>
      <c r="AW55" s="368"/>
      <c r="AX55" s="368"/>
      <c r="AY55" s="368"/>
      <c r="AZ55" s="368"/>
      <c r="BA55" s="368"/>
      <c r="BB55" s="368"/>
      <c r="BC55" s="368"/>
      <c r="BD55" s="368"/>
      <c r="BE55" s="368"/>
      <c r="BF55" s="368"/>
      <c r="BG55" s="368"/>
      <c r="BH55" s="368"/>
      <c r="BI55" s="368"/>
      <c r="BJ55" s="368"/>
      <c r="BK55" s="368"/>
      <c r="BL55" s="368"/>
      <c r="BM55" s="368"/>
      <c r="BN55" s="368"/>
      <c r="BO55" s="368"/>
      <c r="BP55" s="368"/>
      <c r="BQ55" s="368"/>
      <c r="BR55" s="368"/>
      <c r="BS55" s="368"/>
      <c r="BT55" s="368"/>
      <c r="BU55" s="368"/>
      <c r="BV55" s="368"/>
      <c r="BW55" s="368"/>
      <c r="BX55" s="368"/>
      <c r="BY55" s="368"/>
      <c r="BZ55" s="368"/>
      <c r="CA55" s="368"/>
      <c r="CB55" s="368"/>
      <c r="CC55" s="368"/>
      <c r="CD55" s="368"/>
      <c r="CE55" s="368"/>
      <c r="CF55" s="368"/>
      <c r="CG55" s="368"/>
      <c r="CH55" s="368"/>
      <c r="CI55" s="368"/>
      <c r="CJ55" s="368"/>
      <c r="CK55" s="368"/>
      <c r="CL55" s="368"/>
      <c r="CM55" s="368"/>
      <c r="CN55" s="368"/>
      <c r="CO55" s="368"/>
      <c r="CP55" s="368"/>
      <c r="CQ55" s="368"/>
      <c r="CR55" s="368"/>
      <c r="CS55" s="368"/>
      <c r="CT55" s="368"/>
      <c r="CU55" s="368"/>
      <c r="CV55" s="368"/>
      <c r="CW55" s="368"/>
      <c r="CX55" s="368"/>
      <c r="CY55" s="368"/>
      <c r="CZ55" s="368"/>
      <c r="DA55" s="368"/>
      <c r="DB55" s="368"/>
      <c r="DC55" s="368"/>
      <c r="DD55" s="368"/>
      <c r="DE55" s="368"/>
      <c r="DF55" s="368"/>
      <c r="DG55" s="368"/>
      <c r="DH55" s="368"/>
      <c r="DI55" s="368"/>
      <c r="DJ55" s="368"/>
      <c r="DK55" s="368"/>
      <c r="DL55" s="368"/>
      <c r="DM55" s="368"/>
      <c r="DN55" s="368"/>
      <c r="DO55" s="368"/>
      <c r="DP55" s="368"/>
      <c r="DQ55" s="368"/>
      <c r="DR55" s="368"/>
      <c r="DS55" s="368"/>
      <c r="DT55" s="368"/>
      <c r="DU55" s="368"/>
      <c r="DV55" s="368"/>
    </row>
    <row r="56" spans="2:126" s="284" customFormat="1" ht="12.75">
      <c r="B56" s="372" t="s">
        <v>86</v>
      </c>
      <c r="C56" s="286" t="s">
        <v>378</v>
      </c>
      <c r="D56" s="285"/>
      <c r="E56" s="285">
        <v>40000</v>
      </c>
      <c r="F56" s="285">
        <v>50</v>
      </c>
      <c r="G56" s="285">
        <f>+F56*E56</f>
        <v>2000000</v>
      </c>
      <c r="H56" s="285"/>
      <c r="I56" s="285"/>
      <c r="J56" s="285"/>
      <c r="K56" s="285"/>
      <c r="L56" s="285"/>
      <c r="M56" s="285"/>
      <c r="N56" s="285"/>
      <c r="O56" s="285"/>
      <c r="P56" s="378"/>
      <c r="Q56" s="378"/>
      <c r="R56" s="378"/>
      <c r="S56" s="428"/>
      <c r="T56" s="428"/>
      <c r="U56" s="428"/>
      <c r="V56" s="428">
        <f>G56</f>
        <v>2000000</v>
      </c>
      <c r="W56" s="428">
        <f>V56*0.27</f>
        <v>540000</v>
      </c>
      <c r="X56" s="285">
        <f t="shared" si="30"/>
        <v>2540000</v>
      </c>
      <c r="Y56" s="368"/>
      <c r="Z56" s="368"/>
      <c r="AA56" s="368"/>
      <c r="AB56" s="368"/>
      <c r="AC56" s="368"/>
      <c r="AD56" s="368"/>
      <c r="AE56" s="368"/>
      <c r="AF56" s="368"/>
      <c r="AG56" s="368"/>
      <c r="AH56" s="368"/>
      <c r="AI56" s="368"/>
      <c r="AJ56" s="368"/>
      <c r="AK56" s="368"/>
      <c r="AL56" s="368"/>
      <c r="AM56" s="368"/>
      <c r="AN56" s="368"/>
      <c r="AO56" s="368"/>
      <c r="AP56" s="368"/>
      <c r="AQ56" s="368"/>
      <c r="AR56" s="368"/>
      <c r="AS56" s="368"/>
      <c r="AT56" s="368"/>
      <c r="AU56" s="368"/>
      <c r="AV56" s="368"/>
      <c r="AW56" s="368"/>
      <c r="AX56" s="368"/>
      <c r="AY56" s="368"/>
      <c r="AZ56" s="368"/>
      <c r="BA56" s="368"/>
      <c r="BB56" s="368"/>
      <c r="BC56" s="368"/>
      <c r="BD56" s="368"/>
      <c r="BE56" s="368"/>
      <c r="BF56" s="368"/>
      <c r="BG56" s="368"/>
      <c r="BH56" s="368"/>
      <c r="BI56" s="368"/>
      <c r="BJ56" s="368"/>
      <c r="BK56" s="368"/>
      <c r="BL56" s="368"/>
      <c r="BM56" s="368"/>
      <c r="BN56" s="368"/>
      <c r="BO56" s="368"/>
      <c r="BP56" s="368"/>
      <c r="BQ56" s="368"/>
      <c r="BR56" s="368"/>
      <c r="BS56" s="368"/>
      <c r="BT56" s="368"/>
      <c r="BU56" s="368"/>
      <c r="BV56" s="368"/>
      <c r="BW56" s="368"/>
      <c r="BX56" s="368"/>
      <c r="BY56" s="368"/>
      <c r="BZ56" s="368"/>
      <c r="CA56" s="368"/>
      <c r="CB56" s="368"/>
      <c r="CC56" s="368"/>
      <c r="CD56" s="368"/>
      <c r="CE56" s="368"/>
      <c r="CF56" s="368"/>
      <c r="CG56" s="368"/>
      <c r="CH56" s="368"/>
      <c r="CI56" s="368"/>
      <c r="CJ56" s="368"/>
      <c r="CK56" s="368"/>
      <c r="CL56" s="368"/>
      <c r="CM56" s="368"/>
      <c r="CN56" s="368"/>
      <c r="CO56" s="368"/>
      <c r="CP56" s="368"/>
      <c r="CQ56" s="368"/>
      <c r="CR56" s="368"/>
      <c r="CS56" s="368"/>
      <c r="CT56" s="368"/>
      <c r="CU56" s="368"/>
      <c r="CV56" s="368"/>
      <c r="CW56" s="368"/>
      <c r="CX56" s="368"/>
      <c r="CY56" s="368"/>
      <c r="CZ56" s="368"/>
      <c r="DA56" s="368"/>
      <c r="DB56" s="368"/>
      <c r="DC56" s="368"/>
      <c r="DD56" s="368"/>
      <c r="DE56" s="368"/>
      <c r="DF56" s="368"/>
      <c r="DG56" s="368"/>
      <c r="DH56" s="368"/>
      <c r="DI56" s="368"/>
      <c r="DJ56" s="368"/>
      <c r="DK56" s="368"/>
      <c r="DL56" s="368"/>
      <c r="DM56" s="368"/>
      <c r="DN56" s="368"/>
      <c r="DO56" s="368"/>
      <c r="DP56" s="368"/>
      <c r="DQ56" s="368"/>
      <c r="DR56" s="368"/>
      <c r="DS56" s="368"/>
      <c r="DT56" s="368"/>
      <c r="DU56" s="368"/>
      <c r="DV56" s="368"/>
    </row>
    <row r="57" spans="2:126" s="156" customFormat="1" ht="12.75">
      <c r="V57" s="283"/>
    </row>
    <row r="58" spans="2:126" s="156" customFormat="1" ht="12.75">
      <c r="V58" s="283"/>
    </row>
    <row r="59" spans="2:126" s="156" customFormat="1" ht="12.75">
      <c r="V59" s="283"/>
    </row>
    <row r="60" spans="2:126" s="156" customFormat="1" ht="12.75">
      <c r="V60" s="283"/>
    </row>
    <row r="61" spans="2:126" s="156" customFormat="1" ht="12.75">
      <c r="V61" s="283"/>
    </row>
    <row r="62" spans="2:126" s="156" customFormat="1" ht="12.75">
      <c r="V62" s="283"/>
    </row>
    <row r="63" spans="2:126" s="156" customFormat="1" ht="12.75">
      <c r="V63" s="283"/>
    </row>
    <row r="64" spans="2:126" s="156" customFormat="1" ht="12.75">
      <c r="V64" s="283"/>
    </row>
    <row r="65" spans="22:22" s="156" customFormat="1" ht="12.75">
      <c r="V65" s="283"/>
    </row>
    <row r="66" spans="22:22" s="156" customFormat="1" ht="12.75">
      <c r="V66" s="283"/>
    </row>
    <row r="67" spans="22:22" s="156" customFormat="1" ht="12.75">
      <c r="V67" s="283"/>
    </row>
    <row r="68" spans="22:22" s="156" customFormat="1" ht="12.75">
      <c r="V68" s="283"/>
    </row>
    <row r="69" spans="22:22" s="156" customFormat="1" ht="12.75">
      <c r="V69" s="283"/>
    </row>
    <row r="70" spans="22:22" s="156" customFormat="1" ht="12.75">
      <c r="V70" s="283"/>
    </row>
    <row r="71" spans="22:22" s="156" customFormat="1" ht="12.75">
      <c r="V71" s="283"/>
    </row>
    <row r="72" spans="22:22" s="156" customFormat="1" ht="12.75">
      <c r="V72" s="283"/>
    </row>
    <row r="73" spans="22:22" s="156" customFormat="1" ht="12.75">
      <c r="V73" s="283"/>
    </row>
    <row r="74" spans="22:22" s="156" customFormat="1" ht="12.75">
      <c r="V74" s="283"/>
    </row>
    <row r="75" spans="22:22" s="156" customFormat="1" ht="12.75">
      <c r="V75" s="283"/>
    </row>
    <row r="76" spans="22:22" s="156" customFormat="1" ht="12.75">
      <c r="V76" s="283"/>
    </row>
    <row r="77" spans="22:22" s="156" customFormat="1" ht="12.75">
      <c r="V77" s="283"/>
    </row>
    <row r="78" spans="22:22" s="156" customFormat="1" ht="12.75">
      <c r="V78" s="283"/>
    </row>
    <row r="79" spans="22:22" s="156" customFormat="1" ht="12.75">
      <c r="V79" s="283"/>
    </row>
    <row r="80" spans="22:22" s="156" customFormat="1" ht="12.75">
      <c r="V80" s="283"/>
    </row>
    <row r="81" spans="22:22" s="156" customFormat="1" ht="12.75">
      <c r="V81" s="283"/>
    </row>
    <row r="82" spans="22:22" s="156" customFormat="1" ht="12.75">
      <c r="V82" s="283"/>
    </row>
    <row r="83" spans="22:22" s="156" customFormat="1" ht="12.75">
      <c r="V83" s="283"/>
    </row>
    <row r="84" spans="22:22" s="156" customFormat="1" ht="12.75">
      <c r="V84" s="283"/>
    </row>
    <row r="85" spans="22:22" s="156" customFormat="1" ht="12.75">
      <c r="V85" s="283"/>
    </row>
    <row r="86" spans="22:22" s="156" customFormat="1" ht="12.75">
      <c r="V86" s="283"/>
    </row>
    <row r="87" spans="22:22" s="156" customFormat="1" ht="12.75">
      <c r="V87" s="283"/>
    </row>
    <row r="88" spans="22:22" s="156" customFormat="1" ht="12.75">
      <c r="V88" s="283"/>
    </row>
    <row r="89" spans="22:22" s="156" customFormat="1" ht="12.75">
      <c r="V89" s="283"/>
    </row>
    <row r="90" spans="22:22" s="156" customFormat="1" ht="12.75">
      <c r="V90" s="283"/>
    </row>
    <row r="91" spans="22:22" s="156" customFormat="1" ht="12.75">
      <c r="V91" s="283"/>
    </row>
    <row r="92" spans="22:22" s="156" customFormat="1" ht="12.75">
      <c r="V92" s="283"/>
    </row>
    <row r="93" spans="22:22" s="156" customFormat="1" ht="12.75">
      <c r="V93" s="283"/>
    </row>
    <row r="94" spans="22:22" s="156" customFormat="1" ht="12.75">
      <c r="V94" s="283"/>
    </row>
    <row r="95" spans="22:22" s="156" customFormat="1" ht="12.75">
      <c r="V95" s="283"/>
    </row>
    <row r="96" spans="22:22" s="156" customFormat="1" ht="12.75">
      <c r="V96" s="283"/>
    </row>
    <row r="97" spans="22:22" s="156" customFormat="1" ht="12.75">
      <c r="V97" s="283"/>
    </row>
    <row r="98" spans="22:22" s="156" customFormat="1" ht="12.75">
      <c r="V98" s="283"/>
    </row>
    <row r="99" spans="22:22" s="156" customFormat="1" ht="12.75">
      <c r="V99" s="283"/>
    </row>
    <row r="100" spans="22:22" s="156" customFormat="1" ht="12.75">
      <c r="V100" s="283"/>
    </row>
    <row r="101" spans="22:22" s="156" customFormat="1" ht="12.75">
      <c r="V101" s="283"/>
    </row>
    <row r="102" spans="22:22" s="156" customFormat="1" ht="12.75">
      <c r="V102" s="283"/>
    </row>
    <row r="103" spans="22:22" s="156" customFormat="1" ht="12.75">
      <c r="V103" s="283"/>
    </row>
    <row r="104" spans="22:22" s="156" customFormat="1" ht="12.75">
      <c r="V104" s="283"/>
    </row>
    <row r="105" spans="22:22" s="156" customFormat="1" ht="12.75">
      <c r="V105" s="283"/>
    </row>
    <row r="106" spans="22:22" s="156" customFormat="1" ht="12.75">
      <c r="V106" s="283"/>
    </row>
    <row r="107" spans="22:22" s="156" customFormat="1" ht="12.75">
      <c r="V107" s="283"/>
    </row>
    <row r="108" spans="22:22" s="156" customFormat="1" ht="12.75">
      <c r="V108" s="283"/>
    </row>
    <row r="109" spans="22:22" s="156" customFormat="1" ht="12.75">
      <c r="V109" s="283"/>
    </row>
    <row r="110" spans="22:22" s="156" customFormat="1" ht="12.75">
      <c r="V110" s="283"/>
    </row>
    <row r="111" spans="22:22" s="156" customFormat="1" ht="12.75">
      <c r="V111" s="283"/>
    </row>
    <row r="112" spans="22:22" s="156" customFormat="1" ht="12.75">
      <c r="V112" s="283"/>
    </row>
    <row r="113" spans="22:22" s="156" customFormat="1" ht="12.75">
      <c r="V113" s="283"/>
    </row>
    <row r="114" spans="22:22" s="156" customFormat="1" ht="12.75">
      <c r="V114" s="283"/>
    </row>
    <row r="115" spans="22:22" s="156" customFormat="1" ht="12.75">
      <c r="V115" s="283"/>
    </row>
    <row r="116" spans="22:22" s="156" customFormat="1" ht="12.75">
      <c r="V116" s="283"/>
    </row>
    <row r="117" spans="22:22" s="156" customFormat="1" ht="12.75">
      <c r="V117" s="283"/>
    </row>
    <row r="118" spans="22:22" s="156" customFormat="1" ht="12.75">
      <c r="V118" s="283"/>
    </row>
    <row r="119" spans="22:22" s="156" customFormat="1" ht="12.75">
      <c r="V119" s="283"/>
    </row>
    <row r="120" spans="22:22" s="156" customFormat="1" ht="12.75">
      <c r="V120" s="283"/>
    </row>
    <row r="121" spans="22:22" s="156" customFormat="1" ht="12.75">
      <c r="V121" s="283"/>
    </row>
    <row r="122" spans="22:22" s="156" customFormat="1" ht="12.75">
      <c r="V122" s="283"/>
    </row>
    <row r="123" spans="22:22" s="156" customFormat="1" ht="12.75">
      <c r="V123" s="283"/>
    </row>
    <row r="124" spans="22:22" s="156" customFormat="1" ht="12.75">
      <c r="V124" s="283"/>
    </row>
    <row r="125" spans="22:22" s="156" customFormat="1" ht="12.75">
      <c r="V125" s="283"/>
    </row>
    <row r="126" spans="22:22" s="156" customFormat="1" ht="12.75">
      <c r="V126" s="283"/>
    </row>
    <row r="127" spans="22:22" s="156" customFormat="1" ht="12.75">
      <c r="V127" s="283"/>
    </row>
    <row r="128" spans="22:22" s="156" customFormat="1" ht="12.75">
      <c r="V128" s="283"/>
    </row>
    <row r="129" spans="22:22" s="156" customFormat="1" ht="12.75">
      <c r="V129" s="283"/>
    </row>
    <row r="130" spans="22:22" s="156" customFormat="1" ht="12.75">
      <c r="V130" s="283"/>
    </row>
    <row r="131" spans="22:22" s="156" customFormat="1" ht="12.75">
      <c r="V131" s="283"/>
    </row>
    <row r="132" spans="22:22" s="156" customFormat="1" ht="12.75">
      <c r="V132" s="283"/>
    </row>
    <row r="133" spans="22:22" s="156" customFormat="1" ht="12.75">
      <c r="V133" s="283"/>
    </row>
    <row r="134" spans="22:22" s="156" customFormat="1" ht="12.75">
      <c r="V134" s="283"/>
    </row>
    <row r="135" spans="22:22" s="156" customFormat="1" ht="12.75">
      <c r="V135" s="283"/>
    </row>
    <row r="136" spans="22:22" s="156" customFormat="1" ht="12.75">
      <c r="V136" s="283"/>
    </row>
    <row r="137" spans="22:22" s="156" customFormat="1" ht="12.75">
      <c r="V137" s="283"/>
    </row>
    <row r="138" spans="22:22" s="156" customFormat="1" ht="12.75">
      <c r="V138" s="283"/>
    </row>
    <row r="139" spans="22:22" s="156" customFormat="1" ht="12.75">
      <c r="V139" s="283"/>
    </row>
    <row r="140" spans="22:22" s="156" customFormat="1" ht="12.75">
      <c r="V140" s="283"/>
    </row>
    <row r="141" spans="22:22" s="156" customFormat="1" ht="12.75">
      <c r="V141" s="283"/>
    </row>
    <row r="142" spans="22:22" s="156" customFormat="1" ht="12.75">
      <c r="V142" s="283"/>
    </row>
    <row r="143" spans="22:22" s="156" customFormat="1" ht="12.75">
      <c r="V143" s="283"/>
    </row>
    <row r="144" spans="22:22" s="156" customFormat="1" ht="12.75">
      <c r="V144" s="283"/>
    </row>
    <row r="145" spans="22:22" s="156" customFormat="1" ht="12.75">
      <c r="V145" s="283"/>
    </row>
  </sheetData>
  <mergeCells count="1">
    <mergeCell ref="C2:X3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V144"/>
  <sheetViews>
    <sheetView zoomScale="115" zoomScaleNormal="115" workbookViewId="0">
      <pane xSplit="4" ySplit="4" topLeftCell="M20" activePane="bottomRight" state="frozen"/>
      <selection pane="topRight" activeCell="G1" sqref="G1"/>
      <selection pane="bottomLeft" activeCell="A5" sqref="A5"/>
      <selection pane="bottomRight" activeCell="U41" sqref="U41"/>
    </sheetView>
  </sheetViews>
  <sheetFormatPr defaultRowHeight="18"/>
  <cols>
    <col min="1" max="1" width="0.85546875" style="278" customWidth="1"/>
    <col min="2" max="2" width="5.28515625" style="278" customWidth="1"/>
    <col min="3" max="3" width="61.42578125" style="66" bestFit="1" customWidth="1"/>
    <col min="4" max="4" width="18.140625" style="66" customWidth="1"/>
    <col min="5" max="10" width="13.42578125" style="66" customWidth="1"/>
    <col min="11" max="11" width="15" style="66" customWidth="1"/>
    <col min="12" max="16" width="13.42578125" style="66" customWidth="1"/>
    <col min="17" max="17" width="17" style="67" bestFit="1" customWidth="1"/>
    <col min="18" max="18" width="13.28515625" style="66" bestFit="1" customWidth="1"/>
    <col min="19" max="19" width="16" style="66" customWidth="1"/>
    <col min="20" max="20" width="23.85546875" style="278" bestFit="1" customWidth="1"/>
    <col min="21" max="21" width="9.85546875" style="278" bestFit="1" customWidth="1"/>
    <col min="22" max="22" width="19.42578125" style="278" bestFit="1" customWidth="1"/>
    <col min="23" max="23" width="10.28515625" style="278" bestFit="1" customWidth="1"/>
    <col min="24" max="16384" width="9.140625" style="278"/>
  </cols>
  <sheetData>
    <row r="2" spans="2:20" ht="15" customHeight="1">
      <c r="C2" s="409" t="s">
        <v>100</v>
      </c>
      <c r="D2" s="409"/>
      <c r="E2" s="409"/>
      <c r="F2" s="409"/>
      <c r="G2" s="409"/>
      <c r="H2" s="409"/>
      <c r="I2" s="409"/>
      <c r="J2" s="409"/>
      <c r="K2" s="409"/>
      <c r="L2" s="409"/>
      <c r="M2" s="409"/>
      <c r="N2" s="409"/>
      <c r="O2" s="409"/>
      <c r="P2" s="409"/>
      <c r="Q2" s="409"/>
      <c r="R2" s="409"/>
      <c r="S2" s="409"/>
    </row>
    <row r="3" spans="2:20" ht="15" customHeight="1">
      <c r="C3" s="409"/>
      <c r="D3" s="409"/>
      <c r="E3" s="409"/>
      <c r="F3" s="409"/>
      <c r="G3" s="409"/>
      <c r="H3" s="409"/>
      <c r="I3" s="409"/>
      <c r="J3" s="409"/>
      <c r="K3" s="409"/>
      <c r="L3" s="409"/>
      <c r="M3" s="409"/>
      <c r="N3" s="409"/>
      <c r="O3" s="409"/>
      <c r="P3" s="409"/>
      <c r="Q3" s="409"/>
      <c r="R3" s="409"/>
      <c r="S3" s="409"/>
    </row>
    <row r="4" spans="2:20" s="1" customFormat="1" ht="15">
      <c r="B4" s="1" t="s">
        <v>1</v>
      </c>
      <c r="C4" s="2" t="s">
        <v>2</v>
      </c>
      <c r="D4" s="3" t="s">
        <v>364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  <c r="O4" s="4" t="s">
        <v>16</v>
      </c>
      <c r="P4" s="4" t="s">
        <v>17</v>
      </c>
      <c r="Q4" s="5" t="s">
        <v>18</v>
      </c>
      <c r="R4" s="5" t="s">
        <v>19</v>
      </c>
      <c r="S4" s="5" t="s">
        <v>20</v>
      </c>
    </row>
    <row r="5" spans="2:20" s="1" customFormat="1" ht="15">
      <c r="B5" s="278"/>
      <c r="C5" s="6"/>
      <c r="D5" s="7"/>
      <c r="E5" s="8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</row>
    <row r="6" spans="2:20" s="17" customFormat="1" ht="15">
      <c r="B6" s="10">
        <v>1</v>
      </c>
      <c r="C6" s="11" t="s">
        <v>21</v>
      </c>
      <c r="D6" s="12"/>
      <c r="E6" s="14">
        <f>SUM(E7:E15)</f>
        <v>19142000</v>
      </c>
      <c r="F6" s="14">
        <f t="shared" ref="F6:P6" si="0">SUM(F7:F15)</f>
        <v>21547000</v>
      </c>
      <c r="G6" s="14">
        <f t="shared" si="0"/>
        <v>23529500</v>
      </c>
      <c r="H6" s="14">
        <f t="shared" si="0"/>
        <v>21505500</v>
      </c>
      <c r="I6" s="14">
        <f t="shared" si="0"/>
        <v>19165500</v>
      </c>
      <c r="J6" s="14">
        <f t="shared" si="0"/>
        <v>20968000</v>
      </c>
      <c r="K6" s="14">
        <f t="shared" si="0"/>
        <v>19185500</v>
      </c>
      <c r="L6" s="14">
        <f t="shared" si="0"/>
        <v>19185500</v>
      </c>
      <c r="M6" s="14">
        <f t="shared" si="0"/>
        <v>21148000</v>
      </c>
      <c r="N6" s="14">
        <f t="shared" si="0"/>
        <v>21505500</v>
      </c>
      <c r="O6" s="14">
        <f t="shared" si="0"/>
        <v>21547000</v>
      </c>
      <c r="P6" s="14">
        <f t="shared" si="0"/>
        <v>40605000</v>
      </c>
      <c r="Q6" s="14">
        <f>SUM(Q7:Q15)</f>
        <v>269034000</v>
      </c>
      <c r="R6" s="14">
        <f>SUM(R7:R15)</f>
        <v>1422225</v>
      </c>
      <c r="S6" s="14">
        <f>SUM(S7:S15)</f>
        <v>270456225</v>
      </c>
      <c r="T6" s="16"/>
    </row>
    <row r="7" spans="2:20" ht="15">
      <c r="B7" s="18" t="s">
        <v>22</v>
      </c>
      <c r="C7" s="19" t="s">
        <v>23</v>
      </c>
      <c r="D7" s="72" t="s">
        <v>109</v>
      </c>
      <c r="E7" s="21">
        <f>+'[1]2016 bérköltség'!H5</f>
        <v>12810000</v>
      </c>
      <c r="F7" s="21">
        <f>+bérköltség!L5</f>
        <v>14660000</v>
      </c>
      <c r="G7" s="21">
        <f t="shared" ref="G7:O7" si="1">+F7</f>
        <v>14660000</v>
      </c>
      <c r="H7" s="21">
        <f t="shared" si="1"/>
        <v>14660000</v>
      </c>
      <c r="I7" s="21">
        <f>+bérköltség!R5</f>
        <v>12860000</v>
      </c>
      <c r="J7" s="21">
        <f>+I7</f>
        <v>12860000</v>
      </c>
      <c r="K7" s="21">
        <f t="shared" ref="K7:M7" si="2">+J7</f>
        <v>12860000</v>
      </c>
      <c r="L7" s="21">
        <f t="shared" si="2"/>
        <v>12860000</v>
      </c>
      <c r="M7" s="21">
        <f t="shared" si="2"/>
        <v>12860000</v>
      </c>
      <c r="N7" s="21">
        <f>+H7</f>
        <v>14660000</v>
      </c>
      <c r="O7" s="21">
        <f t="shared" si="1"/>
        <v>14660000</v>
      </c>
      <c r="P7" s="21">
        <f>+O7*2</f>
        <v>29320000</v>
      </c>
      <c r="Q7" s="21">
        <f>SUM(E7:P7)</f>
        <v>179730000</v>
      </c>
      <c r="R7" s="22">
        <v>0</v>
      </c>
      <c r="S7" s="21">
        <f>SUM(Q7:R7)</f>
        <v>179730000</v>
      </c>
    </row>
    <row r="8" spans="2:20" s="17" customFormat="1" ht="15">
      <c r="B8" s="18" t="s">
        <v>24</v>
      </c>
      <c r="C8" s="19" t="s">
        <v>90</v>
      </c>
      <c r="D8" s="72" t="s">
        <v>112</v>
      </c>
      <c r="E8" s="23">
        <f>+'[1]2016 bérköltség'!I5</f>
        <v>3843000</v>
      </c>
      <c r="F8" s="21">
        <f>+bérköltség!M5</f>
        <v>4398000</v>
      </c>
      <c r="G8" s="21">
        <f t="shared" ref="F8:P9" si="3">+F8</f>
        <v>4398000</v>
      </c>
      <c r="H8" s="21">
        <f t="shared" si="3"/>
        <v>4398000</v>
      </c>
      <c r="I8" s="21">
        <f>+bérköltség!S5</f>
        <v>3858000</v>
      </c>
      <c r="J8" s="21">
        <f>+I8</f>
        <v>3858000</v>
      </c>
      <c r="K8" s="21">
        <f t="shared" ref="K8:M8" si="4">+J8</f>
        <v>3858000</v>
      </c>
      <c r="L8" s="21">
        <f t="shared" si="4"/>
        <v>3858000</v>
      </c>
      <c r="M8" s="21">
        <f t="shared" si="4"/>
        <v>3858000</v>
      </c>
      <c r="N8" s="21">
        <f>+H8</f>
        <v>4398000</v>
      </c>
      <c r="O8" s="21">
        <f t="shared" si="3"/>
        <v>4398000</v>
      </c>
      <c r="P8" s="23">
        <f>+O8*2</f>
        <v>8796000</v>
      </c>
      <c r="Q8" s="21">
        <f t="shared" ref="Q8:Q15" si="5">SUM(E8:P8)</f>
        <v>53919000</v>
      </c>
      <c r="R8" s="22">
        <v>0</v>
      </c>
      <c r="S8" s="21">
        <f t="shared" ref="S8:S14" si="6">SUM(Q8:R8)</f>
        <v>53919000</v>
      </c>
    </row>
    <row r="9" spans="2:20" s="17" customFormat="1" ht="15">
      <c r="B9" s="18" t="s">
        <v>25</v>
      </c>
      <c r="C9" s="19" t="s">
        <v>258</v>
      </c>
      <c r="D9" s="72" t="s">
        <v>111</v>
      </c>
      <c r="E9" s="23">
        <f>+'[1]2016 bérköltség'!J5</f>
        <v>1925000.0000000002</v>
      </c>
      <c r="F9" s="21">
        <f t="shared" si="3"/>
        <v>1925000.0000000002</v>
      </c>
      <c r="G9" s="21">
        <f t="shared" si="3"/>
        <v>1925000.0000000002</v>
      </c>
      <c r="H9" s="21">
        <f t="shared" si="3"/>
        <v>1925000.0000000002</v>
      </c>
      <c r="I9" s="21">
        <f>+bérköltség!T5</f>
        <v>1925000.0000000002</v>
      </c>
      <c r="J9" s="21">
        <f>+I9</f>
        <v>1925000.0000000002</v>
      </c>
      <c r="K9" s="21">
        <f t="shared" ref="K9:M9" si="7">+J9</f>
        <v>1925000.0000000002</v>
      </c>
      <c r="L9" s="21">
        <f t="shared" si="7"/>
        <v>1925000.0000000002</v>
      </c>
      <c r="M9" s="21">
        <f t="shared" si="7"/>
        <v>1925000.0000000002</v>
      </c>
      <c r="N9" s="21">
        <f>+H9</f>
        <v>1925000.0000000002</v>
      </c>
      <c r="O9" s="21">
        <f t="shared" si="3"/>
        <v>1925000.0000000002</v>
      </c>
      <c r="P9" s="21">
        <f t="shared" si="3"/>
        <v>1925000.0000000002</v>
      </c>
      <c r="Q9" s="21">
        <f t="shared" si="5"/>
        <v>23100000.000000004</v>
      </c>
      <c r="R9" s="22"/>
      <c r="S9" s="21">
        <f t="shared" si="6"/>
        <v>23100000.000000004</v>
      </c>
    </row>
    <row r="10" spans="2:20" s="17" customFormat="1" ht="15">
      <c r="B10" s="18" t="s">
        <v>27</v>
      </c>
      <c r="C10" s="19" t="s">
        <v>270</v>
      </c>
      <c r="D10" s="20"/>
      <c r="E10" s="23">
        <f>45*10500</f>
        <v>472500</v>
      </c>
      <c r="F10" s="23">
        <f t="shared" ref="F10:P10" si="8">45*10500</f>
        <v>472500</v>
      </c>
      <c r="G10" s="23">
        <f t="shared" si="8"/>
        <v>472500</v>
      </c>
      <c r="H10" s="23">
        <f t="shared" si="8"/>
        <v>472500</v>
      </c>
      <c r="I10" s="23">
        <f t="shared" si="8"/>
        <v>472500</v>
      </c>
      <c r="J10" s="23">
        <f t="shared" si="8"/>
        <v>472500</v>
      </c>
      <c r="K10" s="23">
        <f t="shared" si="8"/>
        <v>472500</v>
      </c>
      <c r="L10" s="23">
        <f t="shared" si="8"/>
        <v>472500</v>
      </c>
      <c r="M10" s="23">
        <f t="shared" si="8"/>
        <v>472500</v>
      </c>
      <c r="N10" s="23">
        <f t="shared" si="8"/>
        <v>472500</v>
      </c>
      <c r="O10" s="23">
        <f t="shared" si="8"/>
        <v>472500</v>
      </c>
      <c r="P10" s="23">
        <f t="shared" si="8"/>
        <v>472500</v>
      </c>
      <c r="Q10" s="21">
        <f t="shared" si="5"/>
        <v>5670000</v>
      </c>
      <c r="R10" s="22"/>
      <c r="S10" s="21">
        <f t="shared" si="6"/>
        <v>5670000</v>
      </c>
    </row>
    <row r="11" spans="2:20" ht="15">
      <c r="B11" s="18" t="s">
        <v>29</v>
      </c>
      <c r="C11" s="19" t="s">
        <v>28</v>
      </c>
      <c r="D11" s="20"/>
      <c r="E11" s="20"/>
      <c r="F11" s="20"/>
      <c r="G11" s="20">
        <v>120000</v>
      </c>
      <c r="H11" s="20"/>
      <c r="I11" s="20"/>
      <c r="J11" s="20">
        <v>120000</v>
      </c>
      <c r="K11" s="20"/>
      <c r="L11" s="20"/>
      <c r="M11" s="20">
        <v>120000</v>
      </c>
      <c r="N11" s="20"/>
      <c r="O11" s="20"/>
      <c r="P11" s="20"/>
      <c r="Q11" s="21">
        <f t="shared" si="5"/>
        <v>360000</v>
      </c>
      <c r="R11" s="22">
        <v>0</v>
      </c>
      <c r="S11" s="21">
        <f t="shared" si="6"/>
        <v>360000</v>
      </c>
    </row>
    <row r="12" spans="2:20" ht="15">
      <c r="B12" s="18" t="s">
        <v>31</v>
      </c>
      <c r="C12" s="19" t="s">
        <v>85</v>
      </c>
      <c r="D12" s="72">
        <v>5253</v>
      </c>
      <c r="E12" s="20"/>
      <c r="F12" s="20"/>
      <c r="G12" s="20">
        <f>15*17500</f>
        <v>262500</v>
      </c>
      <c r="H12" s="20"/>
      <c r="I12" s="20"/>
      <c r="J12" s="20">
        <f>15*17500</f>
        <v>262500</v>
      </c>
      <c r="K12" s="20"/>
      <c r="L12" s="20"/>
      <c r="M12" s="20">
        <f>15*17500</f>
        <v>262500</v>
      </c>
      <c r="N12" s="20"/>
      <c r="O12" s="20"/>
      <c r="P12" s="20"/>
      <c r="Q12" s="21">
        <f t="shared" si="5"/>
        <v>787500</v>
      </c>
      <c r="R12" s="22"/>
      <c r="S12" s="21">
        <f t="shared" si="6"/>
        <v>787500</v>
      </c>
    </row>
    <row r="13" spans="2:20" ht="15">
      <c r="B13" s="18" t="s">
        <v>33</v>
      </c>
      <c r="C13" s="19" t="s">
        <v>32</v>
      </c>
      <c r="D13" s="72">
        <v>533</v>
      </c>
      <c r="E13" s="20"/>
      <c r="F13" s="20"/>
      <c r="G13" s="20"/>
      <c r="H13" s="20"/>
      <c r="I13" s="20"/>
      <c r="J13" s="20"/>
      <c r="K13" s="20"/>
      <c r="L13" s="20"/>
      <c r="M13" s="20">
        <v>200000</v>
      </c>
      <c r="N13" s="20"/>
      <c r="O13" s="20"/>
      <c r="P13" s="20"/>
      <c r="Q13" s="21">
        <f t="shared" si="5"/>
        <v>200000</v>
      </c>
      <c r="R13" s="22">
        <v>0</v>
      </c>
      <c r="S13" s="21">
        <f t="shared" si="6"/>
        <v>200000</v>
      </c>
      <c r="T13" s="24"/>
    </row>
    <row r="14" spans="2:20" ht="15">
      <c r="B14" s="18" t="s">
        <v>35</v>
      </c>
      <c r="C14" s="19" t="s">
        <v>34</v>
      </c>
      <c r="D14" s="72" t="s">
        <v>199</v>
      </c>
      <c r="E14" s="22">
        <v>91500</v>
      </c>
      <c r="F14" s="22">
        <v>91500</v>
      </c>
      <c r="G14" s="22">
        <v>91500</v>
      </c>
      <c r="H14" s="22">
        <v>50000</v>
      </c>
      <c r="I14" s="22">
        <v>50000</v>
      </c>
      <c r="J14" s="22">
        <v>70000</v>
      </c>
      <c r="K14" s="22">
        <v>70000</v>
      </c>
      <c r="L14" s="22">
        <v>70000</v>
      </c>
      <c r="M14" s="22">
        <v>50000</v>
      </c>
      <c r="N14" s="22">
        <v>50000</v>
      </c>
      <c r="O14" s="22">
        <v>91500</v>
      </c>
      <c r="P14" s="22">
        <v>91500</v>
      </c>
      <c r="Q14" s="21">
        <f t="shared" si="5"/>
        <v>867500</v>
      </c>
      <c r="R14" s="22">
        <f>Q14*0.27</f>
        <v>234225.00000000003</v>
      </c>
      <c r="S14" s="21">
        <f t="shared" si="6"/>
        <v>1101725</v>
      </c>
      <c r="T14" s="24"/>
    </row>
    <row r="15" spans="2:20" ht="15">
      <c r="B15" s="18" t="s">
        <v>198</v>
      </c>
      <c r="C15" s="19" t="s">
        <v>36</v>
      </c>
      <c r="D15" s="72">
        <v>5524.8140000000003</v>
      </c>
      <c r="E15" s="22"/>
      <c r="F15" s="22"/>
      <c r="G15" s="22">
        <v>1600000</v>
      </c>
      <c r="H15" s="22"/>
      <c r="I15" s="22"/>
      <c r="J15" s="22">
        <v>1400000</v>
      </c>
      <c r="K15" s="22"/>
      <c r="L15" s="22"/>
      <c r="M15" s="22">
        <v>1400000</v>
      </c>
      <c r="N15" s="22"/>
      <c r="O15" s="22"/>
      <c r="P15" s="22"/>
      <c r="Q15" s="21">
        <f t="shared" si="5"/>
        <v>4400000</v>
      </c>
      <c r="R15" s="22">
        <f>+Q15*0.27</f>
        <v>1188000</v>
      </c>
      <c r="S15" s="21">
        <f t="shared" ref="S15" si="9">SUM(Q15:R15)</f>
        <v>5588000</v>
      </c>
      <c r="T15" s="24"/>
    </row>
    <row r="16" spans="2:20" ht="15">
      <c r="C16" s="25"/>
      <c r="D16" s="25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</row>
    <row r="17" spans="2:19" ht="15">
      <c r="B17" s="10">
        <v>2</v>
      </c>
      <c r="C17" s="27" t="s">
        <v>200</v>
      </c>
      <c r="D17" s="28"/>
      <c r="E17" s="29">
        <f t="shared" ref="E17:S17" si="10">SUM(E18:E23)</f>
        <v>3019222</v>
      </c>
      <c r="F17" s="29">
        <f t="shared" si="10"/>
        <v>3019222</v>
      </c>
      <c r="G17" s="29">
        <f t="shared" si="10"/>
        <v>3019222</v>
      </c>
      <c r="H17" s="29">
        <f t="shared" si="10"/>
        <v>3619222</v>
      </c>
      <c r="I17" s="29">
        <f t="shared" si="10"/>
        <v>3019222</v>
      </c>
      <c r="J17" s="29">
        <f t="shared" si="10"/>
        <v>3019222</v>
      </c>
      <c r="K17" s="29">
        <f t="shared" si="10"/>
        <v>3019222</v>
      </c>
      <c r="L17" s="29">
        <f t="shared" si="10"/>
        <v>3019222</v>
      </c>
      <c r="M17" s="29">
        <f t="shared" si="10"/>
        <v>3019222</v>
      </c>
      <c r="N17" s="29">
        <f t="shared" si="10"/>
        <v>3019222</v>
      </c>
      <c r="O17" s="29">
        <f t="shared" si="10"/>
        <v>3019222</v>
      </c>
      <c r="P17" s="29">
        <f t="shared" si="10"/>
        <v>3019222</v>
      </c>
      <c r="Q17" s="15">
        <f t="shared" si="10"/>
        <v>36830664</v>
      </c>
      <c r="R17" s="15">
        <f t="shared" si="10"/>
        <v>9944279.2800000012</v>
      </c>
      <c r="S17" s="15">
        <f t="shared" si="10"/>
        <v>46774943.280000001</v>
      </c>
    </row>
    <row r="18" spans="2:19" ht="15">
      <c r="B18" s="30" t="s">
        <v>37</v>
      </c>
      <c r="C18" s="31" t="s">
        <v>375</v>
      </c>
      <c r="D18" s="22"/>
      <c r="E18" s="22">
        <f>3000*221</f>
        <v>663000</v>
      </c>
      <c r="F18" s="22">
        <f t="shared" ref="F18:P18" si="11">3000*221</f>
        <v>663000</v>
      </c>
      <c r="G18" s="22">
        <f t="shared" si="11"/>
        <v>663000</v>
      </c>
      <c r="H18" s="22">
        <f t="shared" si="11"/>
        <v>663000</v>
      </c>
      <c r="I18" s="22">
        <f t="shared" si="11"/>
        <v>663000</v>
      </c>
      <c r="J18" s="22">
        <f t="shared" si="11"/>
        <v>663000</v>
      </c>
      <c r="K18" s="22">
        <f t="shared" si="11"/>
        <v>663000</v>
      </c>
      <c r="L18" s="22">
        <f t="shared" si="11"/>
        <v>663000</v>
      </c>
      <c r="M18" s="22">
        <f t="shared" si="11"/>
        <v>663000</v>
      </c>
      <c r="N18" s="22">
        <f t="shared" si="11"/>
        <v>663000</v>
      </c>
      <c r="O18" s="22">
        <f t="shared" si="11"/>
        <v>663000</v>
      </c>
      <c r="P18" s="22">
        <f t="shared" si="11"/>
        <v>663000</v>
      </c>
      <c r="Q18" s="22">
        <f t="shared" ref="Q18:Q23" si="12">SUM(E18:P18)</f>
        <v>7956000</v>
      </c>
      <c r="R18" s="22">
        <f>Q18*0.27</f>
        <v>2148120</v>
      </c>
      <c r="S18" s="22">
        <f>SUM(Q18:R18)</f>
        <v>10104120</v>
      </c>
    </row>
    <row r="19" spans="2:19" ht="15">
      <c r="B19" s="30" t="s">
        <v>342</v>
      </c>
      <c r="C19" s="31" t="s">
        <v>39</v>
      </c>
      <c r="D19" s="72">
        <v>5295</v>
      </c>
      <c r="E19" s="22">
        <v>198222</v>
      </c>
      <c r="F19" s="22">
        <v>198222</v>
      </c>
      <c r="G19" s="22">
        <v>198222</v>
      </c>
      <c r="H19" s="22">
        <v>198222</v>
      </c>
      <c r="I19" s="22">
        <v>198222</v>
      </c>
      <c r="J19" s="22">
        <v>198222</v>
      </c>
      <c r="K19" s="22">
        <v>198222</v>
      </c>
      <c r="L19" s="22">
        <v>198222</v>
      </c>
      <c r="M19" s="22">
        <v>198222</v>
      </c>
      <c r="N19" s="22">
        <v>198222</v>
      </c>
      <c r="O19" s="22">
        <v>198222</v>
      </c>
      <c r="P19" s="22">
        <v>198222</v>
      </c>
      <c r="Q19" s="22">
        <f t="shared" si="12"/>
        <v>2378664</v>
      </c>
      <c r="R19" s="22">
        <f t="shared" ref="R19:R23" si="13">Q19*0.27</f>
        <v>642239.28</v>
      </c>
      <c r="S19" s="22">
        <f t="shared" ref="S19:S23" si="14">SUM(Q19:R19)</f>
        <v>3020903.2800000003</v>
      </c>
    </row>
    <row r="20" spans="2:19" ht="15">
      <c r="B20" s="30" t="s">
        <v>38</v>
      </c>
      <c r="C20" s="19" t="s">
        <v>201</v>
      </c>
      <c r="D20" s="72">
        <v>5299</v>
      </c>
      <c r="E20" s="20">
        <f>22000*2</f>
        <v>44000</v>
      </c>
      <c r="F20" s="20">
        <f t="shared" ref="F20:P20" si="15">22000*2</f>
        <v>44000</v>
      </c>
      <c r="G20" s="20">
        <f t="shared" si="15"/>
        <v>44000</v>
      </c>
      <c r="H20" s="20">
        <f t="shared" si="15"/>
        <v>44000</v>
      </c>
      <c r="I20" s="20">
        <f t="shared" si="15"/>
        <v>44000</v>
      </c>
      <c r="J20" s="20">
        <f t="shared" si="15"/>
        <v>44000</v>
      </c>
      <c r="K20" s="20">
        <f t="shared" si="15"/>
        <v>44000</v>
      </c>
      <c r="L20" s="20">
        <f t="shared" si="15"/>
        <v>44000</v>
      </c>
      <c r="M20" s="20">
        <f t="shared" si="15"/>
        <v>44000</v>
      </c>
      <c r="N20" s="20">
        <f t="shared" si="15"/>
        <v>44000</v>
      </c>
      <c r="O20" s="20">
        <f t="shared" si="15"/>
        <v>44000</v>
      </c>
      <c r="P20" s="20">
        <f t="shared" si="15"/>
        <v>44000</v>
      </c>
      <c r="Q20" s="22">
        <f t="shared" si="12"/>
        <v>528000</v>
      </c>
      <c r="R20" s="22">
        <f t="shared" si="13"/>
        <v>142560</v>
      </c>
      <c r="S20" s="22">
        <f t="shared" si="14"/>
        <v>670560</v>
      </c>
    </row>
    <row r="21" spans="2:19" ht="15">
      <c r="B21" s="30" t="s">
        <v>40</v>
      </c>
      <c r="C21" s="19" t="s">
        <v>44</v>
      </c>
      <c r="D21" s="72">
        <v>5299</v>
      </c>
      <c r="E21" s="20">
        <f>5000*10</f>
        <v>50000</v>
      </c>
      <c r="F21" s="20">
        <v>50000</v>
      </c>
      <c r="G21" s="20">
        <v>50000</v>
      </c>
      <c r="H21" s="20">
        <f>(5000*10)+(600*1000)</f>
        <v>650000</v>
      </c>
      <c r="I21" s="20">
        <v>50000</v>
      </c>
      <c r="J21" s="20">
        <v>50000</v>
      </c>
      <c r="K21" s="20">
        <v>50000</v>
      </c>
      <c r="L21" s="20">
        <v>50000</v>
      </c>
      <c r="M21" s="20">
        <v>50000</v>
      </c>
      <c r="N21" s="20">
        <v>50000</v>
      </c>
      <c r="O21" s="20">
        <v>50000</v>
      </c>
      <c r="P21" s="20">
        <v>50000</v>
      </c>
      <c r="Q21" s="22">
        <f t="shared" si="12"/>
        <v>1200000</v>
      </c>
      <c r="R21" s="22">
        <f t="shared" si="13"/>
        <v>324000</v>
      </c>
      <c r="S21" s="22">
        <f t="shared" si="14"/>
        <v>1524000</v>
      </c>
    </row>
    <row r="22" spans="2:19" ht="15">
      <c r="B22" s="30" t="s">
        <v>41</v>
      </c>
      <c r="C22" s="19" t="s">
        <v>46</v>
      </c>
      <c r="D22" s="22"/>
      <c r="E22" s="20">
        <v>2000000</v>
      </c>
      <c r="F22" s="20">
        <v>2000000</v>
      </c>
      <c r="G22" s="20">
        <v>2000000</v>
      </c>
      <c r="H22" s="20">
        <v>2000000</v>
      </c>
      <c r="I22" s="20">
        <v>2000000</v>
      </c>
      <c r="J22" s="20">
        <v>2000000</v>
      </c>
      <c r="K22" s="20">
        <v>2000000</v>
      </c>
      <c r="L22" s="20">
        <v>2000000</v>
      </c>
      <c r="M22" s="20">
        <v>2000000</v>
      </c>
      <c r="N22" s="20">
        <v>2000000</v>
      </c>
      <c r="O22" s="20">
        <v>2000000</v>
      </c>
      <c r="P22" s="20">
        <v>2000000</v>
      </c>
      <c r="Q22" s="22">
        <f t="shared" si="12"/>
        <v>24000000</v>
      </c>
      <c r="R22" s="22">
        <f t="shared" si="13"/>
        <v>6480000</v>
      </c>
      <c r="S22" s="22">
        <f t="shared" si="14"/>
        <v>30480000</v>
      </c>
    </row>
    <row r="23" spans="2:19" ht="15">
      <c r="B23" s="30" t="s">
        <v>43</v>
      </c>
      <c r="C23" s="19" t="s">
        <v>269</v>
      </c>
      <c r="D23" s="22"/>
      <c r="E23" s="20">
        <f>32000*2</f>
        <v>64000</v>
      </c>
      <c r="F23" s="20">
        <f t="shared" ref="F23:P23" si="16">32000*2</f>
        <v>64000</v>
      </c>
      <c r="G23" s="20">
        <f t="shared" si="16"/>
        <v>64000</v>
      </c>
      <c r="H23" s="20">
        <f t="shared" si="16"/>
        <v>64000</v>
      </c>
      <c r="I23" s="20">
        <f t="shared" si="16"/>
        <v>64000</v>
      </c>
      <c r="J23" s="20">
        <f t="shared" si="16"/>
        <v>64000</v>
      </c>
      <c r="K23" s="20">
        <f t="shared" si="16"/>
        <v>64000</v>
      </c>
      <c r="L23" s="20">
        <f t="shared" si="16"/>
        <v>64000</v>
      </c>
      <c r="M23" s="20">
        <f t="shared" si="16"/>
        <v>64000</v>
      </c>
      <c r="N23" s="20">
        <f t="shared" si="16"/>
        <v>64000</v>
      </c>
      <c r="O23" s="20">
        <f t="shared" si="16"/>
        <v>64000</v>
      </c>
      <c r="P23" s="20">
        <f t="shared" si="16"/>
        <v>64000</v>
      </c>
      <c r="Q23" s="22">
        <f t="shared" si="12"/>
        <v>768000</v>
      </c>
      <c r="R23" s="22">
        <f t="shared" si="13"/>
        <v>207360</v>
      </c>
      <c r="S23" s="22">
        <f t="shared" si="14"/>
        <v>975360</v>
      </c>
    </row>
    <row r="24" spans="2:19" ht="15">
      <c r="B24" s="30"/>
      <c r="C24" s="7"/>
      <c r="D24" s="34"/>
      <c r="E24" s="282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</row>
    <row r="25" spans="2:19" s="40" customFormat="1" ht="15">
      <c r="B25" s="37">
        <v>3</v>
      </c>
      <c r="C25" s="38" t="s">
        <v>51</v>
      </c>
      <c r="D25" s="15"/>
      <c r="E25" s="15">
        <f t="shared" ref="E25:S25" si="17">SUM(E26:E40)</f>
        <v>14938156.333333334</v>
      </c>
      <c r="F25" s="15">
        <f t="shared" si="17"/>
        <v>14011186.636363637</v>
      </c>
      <c r="G25" s="15">
        <f t="shared" si="17"/>
        <v>14361186.636363637</v>
      </c>
      <c r="H25" s="15">
        <f t="shared" si="17"/>
        <v>12611186.636363637</v>
      </c>
      <c r="I25" s="15">
        <f t="shared" si="17"/>
        <v>9574519.9696969688</v>
      </c>
      <c r="J25" s="15">
        <f t="shared" si="17"/>
        <v>8611186.6363636367</v>
      </c>
      <c r="K25" s="15">
        <f t="shared" si="17"/>
        <v>8961186.6363636367</v>
      </c>
      <c r="L25" s="15">
        <f t="shared" si="17"/>
        <v>8611186.6363636367</v>
      </c>
      <c r="M25" s="15">
        <f t="shared" si="17"/>
        <v>9194519.9696969688</v>
      </c>
      <c r="N25" s="15">
        <f t="shared" si="17"/>
        <v>8611186.6363636367</v>
      </c>
      <c r="O25" s="15">
        <f t="shared" si="17"/>
        <v>8961186.6363636367</v>
      </c>
      <c r="P25" s="15">
        <f t="shared" si="17"/>
        <v>8611186.6363636367</v>
      </c>
      <c r="Q25" s="15">
        <f t="shared" si="17"/>
        <v>127057876</v>
      </c>
      <c r="R25" s="15">
        <f t="shared" si="17"/>
        <v>33295320</v>
      </c>
      <c r="S25" s="15">
        <f t="shared" si="17"/>
        <v>160353196</v>
      </c>
    </row>
    <row r="26" spans="2:19" ht="16.5" customHeight="1">
      <c r="B26" s="30" t="s">
        <v>52</v>
      </c>
      <c r="C26" s="19" t="s">
        <v>55</v>
      </c>
      <c r="D26" s="72" t="s">
        <v>104</v>
      </c>
      <c r="E26" s="20">
        <v>311823</v>
      </c>
      <c r="F26" s="20">
        <f>+[1]Rezsiköltségek!E15</f>
        <v>311823</v>
      </c>
      <c r="G26" s="20">
        <f>+F26</f>
        <v>311823</v>
      </c>
      <c r="H26" s="20">
        <f t="shared" ref="H26:P26" si="18">+G26</f>
        <v>311823</v>
      </c>
      <c r="I26" s="20">
        <f t="shared" si="18"/>
        <v>311823</v>
      </c>
      <c r="J26" s="20">
        <f t="shared" si="18"/>
        <v>311823</v>
      </c>
      <c r="K26" s="20">
        <f t="shared" si="18"/>
        <v>311823</v>
      </c>
      <c r="L26" s="20">
        <f t="shared" si="18"/>
        <v>311823</v>
      </c>
      <c r="M26" s="20">
        <f t="shared" si="18"/>
        <v>311823</v>
      </c>
      <c r="N26" s="20">
        <f t="shared" si="18"/>
        <v>311823</v>
      </c>
      <c r="O26" s="20">
        <f t="shared" si="18"/>
        <v>311823</v>
      </c>
      <c r="P26" s="20">
        <f t="shared" si="18"/>
        <v>311823</v>
      </c>
      <c r="Q26" s="20">
        <f t="shared" ref="Q26:Q40" si="19">SUM(E26:P26)</f>
        <v>3741876</v>
      </c>
      <c r="R26" s="22">
        <v>0</v>
      </c>
      <c r="S26" s="522">
        <f t="shared" ref="S26:S38" si="20">+R26+Q26</f>
        <v>3741876</v>
      </c>
    </row>
    <row r="27" spans="2:19" ht="16.5" customHeight="1">
      <c r="B27" s="30" t="s">
        <v>54</v>
      </c>
      <c r="C27" s="19" t="s">
        <v>204</v>
      </c>
      <c r="D27" s="22"/>
      <c r="E27" s="20">
        <v>200000</v>
      </c>
      <c r="F27" s="20">
        <v>200000</v>
      </c>
      <c r="G27" s="20">
        <v>200000</v>
      </c>
      <c r="H27" s="20">
        <v>200000</v>
      </c>
      <c r="I27" s="20">
        <v>200000</v>
      </c>
      <c r="J27" s="20">
        <v>200000</v>
      </c>
      <c r="K27" s="20">
        <v>200000</v>
      </c>
      <c r="L27" s="20">
        <v>200000</v>
      </c>
      <c r="M27" s="20">
        <v>200000</v>
      </c>
      <c r="N27" s="20">
        <v>200000</v>
      </c>
      <c r="O27" s="20">
        <v>200000</v>
      </c>
      <c r="P27" s="20">
        <v>200000</v>
      </c>
      <c r="Q27" s="20">
        <f t="shared" si="19"/>
        <v>2400000</v>
      </c>
      <c r="R27" s="22">
        <f>+Q27*0.27</f>
        <v>648000</v>
      </c>
      <c r="S27" s="522">
        <f t="shared" si="20"/>
        <v>3048000</v>
      </c>
    </row>
    <row r="28" spans="2:19" ht="16.5" customHeight="1">
      <c r="B28" s="30" t="s">
        <v>56</v>
      </c>
      <c r="C28" s="19" t="s">
        <v>91</v>
      </c>
      <c r="D28" s="72">
        <v>5293</v>
      </c>
      <c r="E28" s="20">
        <f>(11000*8)+(12*15000)</f>
        <v>268000</v>
      </c>
      <c r="F28" s="20">
        <f t="shared" ref="F28:P28" si="21">(11000*8)+(12*15000)</f>
        <v>268000</v>
      </c>
      <c r="G28" s="20">
        <f t="shared" si="21"/>
        <v>268000</v>
      </c>
      <c r="H28" s="20">
        <f t="shared" si="21"/>
        <v>268000</v>
      </c>
      <c r="I28" s="20">
        <f t="shared" si="21"/>
        <v>268000</v>
      </c>
      <c r="J28" s="20">
        <f t="shared" si="21"/>
        <v>268000</v>
      </c>
      <c r="K28" s="20">
        <f t="shared" si="21"/>
        <v>268000</v>
      </c>
      <c r="L28" s="20">
        <f t="shared" si="21"/>
        <v>268000</v>
      </c>
      <c r="M28" s="20">
        <f t="shared" si="21"/>
        <v>268000</v>
      </c>
      <c r="N28" s="20">
        <f t="shared" si="21"/>
        <v>268000</v>
      </c>
      <c r="O28" s="20">
        <f t="shared" si="21"/>
        <v>268000</v>
      </c>
      <c r="P28" s="20">
        <f t="shared" si="21"/>
        <v>268000</v>
      </c>
      <c r="Q28" s="20">
        <f t="shared" si="19"/>
        <v>3216000</v>
      </c>
      <c r="R28" s="22">
        <f t="shared" ref="R28:R38" si="22">+Q28*0.27</f>
        <v>868320</v>
      </c>
      <c r="S28" s="522">
        <f t="shared" si="20"/>
        <v>4084320</v>
      </c>
    </row>
    <row r="29" spans="2:19" ht="16.5" customHeight="1">
      <c r="B29" s="30" t="s">
        <v>58</v>
      </c>
      <c r="C29" s="19" t="s">
        <v>92</v>
      </c>
      <c r="D29" s="72">
        <v>5281.5511999999999</v>
      </c>
      <c r="E29" s="20">
        <v>150000</v>
      </c>
      <c r="F29" s="20">
        <v>150000</v>
      </c>
      <c r="G29" s="20">
        <v>150000</v>
      </c>
      <c r="H29" s="20">
        <v>150000</v>
      </c>
      <c r="I29" s="20">
        <v>150000</v>
      </c>
      <c r="J29" s="20">
        <v>150000</v>
      </c>
      <c r="K29" s="20">
        <v>150000</v>
      </c>
      <c r="L29" s="20">
        <v>150000</v>
      </c>
      <c r="M29" s="20">
        <v>150000</v>
      </c>
      <c r="N29" s="20">
        <v>150000</v>
      </c>
      <c r="O29" s="20">
        <v>150000</v>
      </c>
      <c r="P29" s="20">
        <v>150000</v>
      </c>
      <c r="Q29" s="20">
        <f t="shared" si="19"/>
        <v>1800000</v>
      </c>
      <c r="R29" s="22">
        <f t="shared" si="22"/>
        <v>486000.00000000006</v>
      </c>
      <c r="S29" s="522">
        <f t="shared" si="20"/>
        <v>2286000</v>
      </c>
    </row>
    <row r="30" spans="2:19" ht="15">
      <c r="B30" s="30" t="s">
        <v>60</v>
      </c>
      <c r="C30" s="19" t="s">
        <v>93</v>
      </c>
      <c r="D30" s="72">
        <v>5114</v>
      </c>
      <c r="E30" s="20">
        <v>450000</v>
      </c>
      <c r="F30" s="20">
        <v>450000</v>
      </c>
      <c r="G30" s="20">
        <v>450000</v>
      </c>
      <c r="H30" s="20">
        <v>450000</v>
      </c>
      <c r="I30" s="20">
        <v>450000</v>
      </c>
      <c r="J30" s="20">
        <v>450000</v>
      </c>
      <c r="K30" s="20">
        <v>450000</v>
      </c>
      <c r="L30" s="20">
        <v>450000</v>
      </c>
      <c r="M30" s="20">
        <v>450000</v>
      </c>
      <c r="N30" s="20">
        <v>450000</v>
      </c>
      <c r="O30" s="20">
        <v>450000</v>
      </c>
      <c r="P30" s="20">
        <v>450000</v>
      </c>
      <c r="Q30" s="20">
        <f t="shared" si="19"/>
        <v>5400000</v>
      </c>
      <c r="R30" s="22">
        <f t="shared" si="22"/>
        <v>1458000</v>
      </c>
      <c r="S30" s="522">
        <f t="shared" si="20"/>
        <v>6858000</v>
      </c>
    </row>
    <row r="31" spans="2:19" ht="16.5" customHeight="1">
      <c r="B31" s="30" t="s">
        <v>62</v>
      </c>
      <c r="C31" s="19" t="s">
        <v>61</v>
      </c>
      <c r="D31" s="72">
        <v>5292</v>
      </c>
      <c r="E31" s="20">
        <v>1000000</v>
      </c>
      <c r="F31" s="522">
        <v>1000000</v>
      </c>
      <c r="G31" s="522">
        <v>1000000</v>
      </c>
      <c r="H31" s="522">
        <v>1000000</v>
      </c>
      <c r="I31" s="522">
        <v>1000000</v>
      </c>
      <c r="J31" s="522">
        <v>1000000</v>
      </c>
      <c r="K31" s="522">
        <v>1000000</v>
      </c>
      <c r="L31" s="522">
        <v>1000000</v>
      </c>
      <c r="M31" s="522">
        <v>1000000</v>
      </c>
      <c r="N31" s="522">
        <v>1000000</v>
      </c>
      <c r="O31" s="522">
        <v>1000000</v>
      </c>
      <c r="P31" s="522">
        <v>1000000</v>
      </c>
      <c r="Q31" s="20">
        <f t="shared" si="19"/>
        <v>12000000</v>
      </c>
      <c r="R31" s="22">
        <f t="shared" si="22"/>
        <v>3240000</v>
      </c>
      <c r="S31" s="522">
        <f t="shared" si="20"/>
        <v>15240000</v>
      </c>
    </row>
    <row r="32" spans="2:19" ht="15">
      <c r="B32" s="30" t="s">
        <v>64</v>
      </c>
      <c r="C32" s="19" t="s">
        <v>94</v>
      </c>
      <c r="D32" s="72">
        <v>513.5231</v>
      </c>
      <c r="E32" s="20">
        <v>45000</v>
      </c>
      <c r="F32" s="20">
        <v>45000</v>
      </c>
      <c r="G32" s="20">
        <v>45000</v>
      </c>
      <c r="H32" s="20">
        <v>45000</v>
      </c>
      <c r="I32" s="20">
        <v>45000</v>
      </c>
      <c r="J32" s="20">
        <v>45000</v>
      </c>
      <c r="K32" s="20">
        <v>45000</v>
      </c>
      <c r="L32" s="20">
        <v>45000</v>
      </c>
      <c r="M32" s="20">
        <v>45000</v>
      </c>
      <c r="N32" s="20">
        <v>45000</v>
      </c>
      <c r="O32" s="20">
        <v>45000</v>
      </c>
      <c r="P32" s="20">
        <v>45000</v>
      </c>
      <c r="Q32" s="20">
        <f t="shared" si="19"/>
        <v>540000</v>
      </c>
      <c r="R32" s="22">
        <f t="shared" si="22"/>
        <v>145800</v>
      </c>
      <c r="S32" s="522">
        <f t="shared" si="20"/>
        <v>685800</v>
      </c>
    </row>
    <row r="33" spans="2:22" ht="16.5" customHeight="1">
      <c r="B33" s="30" t="s">
        <v>65</v>
      </c>
      <c r="C33" s="19" t="s">
        <v>70</v>
      </c>
      <c r="D33" s="72">
        <v>5288</v>
      </c>
      <c r="E33" s="20">
        <v>300000</v>
      </c>
      <c r="F33" s="20">
        <v>300000</v>
      </c>
      <c r="G33" s="20">
        <v>300000</v>
      </c>
      <c r="H33" s="20">
        <v>300000</v>
      </c>
      <c r="I33" s="20">
        <v>300000</v>
      </c>
      <c r="J33" s="20">
        <v>300000</v>
      </c>
      <c r="K33" s="20">
        <v>300000</v>
      </c>
      <c r="L33" s="20">
        <v>300000</v>
      </c>
      <c r="M33" s="20">
        <v>300000</v>
      </c>
      <c r="N33" s="20">
        <v>300000</v>
      </c>
      <c r="O33" s="20">
        <v>300000</v>
      </c>
      <c r="P33" s="20">
        <v>300000</v>
      </c>
      <c r="Q33" s="20">
        <f t="shared" si="19"/>
        <v>3600000</v>
      </c>
      <c r="R33" s="22">
        <f t="shared" si="22"/>
        <v>972000.00000000012</v>
      </c>
      <c r="S33" s="522">
        <f t="shared" si="20"/>
        <v>4572000</v>
      </c>
    </row>
    <row r="34" spans="2:22" ht="16.5" customHeight="1">
      <c r="B34" s="30" t="s">
        <v>67</v>
      </c>
      <c r="C34" s="19" t="s">
        <v>271</v>
      </c>
      <c r="D34" s="278"/>
      <c r="E34" s="20">
        <f>1000000+1400000+(700000/3)</f>
        <v>2633333.3333333335</v>
      </c>
      <c r="F34" s="20">
        <f t="shared" ref="F34" si="23">1000000+1400000</f>
        <v>2400000</v>
      </c>
      <c r="G34" s="20">
        <f>1000000+1400000</f>
        <v>2400000</v>
      </c>
      <c r="H34" s="20">
        <f t="shared" ref="H34:P34" si="24">1000000</f>
        <v>1000000</v>
      </c>
      <c r="I34" s="20">
        <f>1000000+(700000/3)</f>
        <v>1233333.3333333333</v>
      </c>
      <c r="J34" s="20">
        <f t="shared" si="24"/>
        <v>1000000</v>
      </c>
      <c r="K34" s="20">
        <f t="shared" si="24"/>
        <v>1000000</v>
      </c>
      <c r="L34" s="20">
        <f t="shared" si="24"/>
        <v>1000000</v>
      </c>
      <c r="M34" s="20">
        <f>1000000+(700000/3)</f>
        <v>1233333.3333333333</v>
      </c>
      <c r="N34" s="20">
        <f t="shared" si="24"/>
        <v>1000000</v>
      </c>
      <c r="O34" s="20">
        <f t="shared" si="24"/>
        <v>1000000</v>
      </c>
      <c r="P34" s="20">
        <f t="shared" si="24"/>
        <v>1000000</v>
      </c>
      <c r="Q34" s="20">
        <f>SUM(E34:P34)</f>
        <v>16900000</v>
      </c>
      <c r="R34" s="22">
        <f t="shared" ref="R34" si="25">+Q34*0.27</f>
        <v>4563000</v>
      </c>
      <c r="S34" s="485">
        <f t="shared" ref="S34" si="26">+R34+Q34</f>
        <v>21463000</v>
      </c>
    </row>
    <row r="35" spans="2:22" ht="15">
      <c r="B35" s="30" t="s">
        <v>69</v>
      </c>
      <c r="C35" s="19" t="s">
        <v>95</v>
      </c>
      <c r="D35" s="72">
        <v>5321</v>
      </c>
      <c r="E35" s="20">
        <f>340000+1000000</f>
        <v>1340000</v>
      </c>
      <c r="F35" s="20">
        <f t="shared" ref="F35:P35" si="27">340000+1000000</f>
        <v>1340000</v>
      </c>
      <c r="G35" s="20">
        <f t="shared" si="27"/>
        <v>1340000</v>
      </c>
      <c r="H35" s="20">
        <f t="shared" si="27"/>
        <v>1340000</v>
      </c>
      <c r="I35" s="20">
        <f t="shared" si="27"/>
        <v>1340000</v>
      </c>
      <c r="J35" s="20">
        <f t="shared" si="27"/>
        <v>1340000</v>
      </c>
      <c r="K35" s="20">
        <f t="shared" si="27"/>
        <v>1340000</v>
      </c>
      <c r="L35" s="20">
        <f t="shared" si="27"/>
        <v>1340000</v>
      </c>
      <c r="M35" s="20">
        <f t="shared" si="27"/>
        <v>1340000</v>
      </c>
      <c r="N35" s="20">
        <f t="shared" si="27"/>
        <v>1340000</v>
      </c>
      <c r="O35" s="20">
        <f t="shared" si="27"/>
        <v>1340000</v>
      </c>
      <c r="P35" s="20">
        <f t="shared" si="27"/>
        <v>1340000</v>
      </c>
      <c r="Q35" s="20">
        <f t="shared" si="19"/>
        <v>16080000</v>
      </c>
      <c r="R35" s="22">
        <f t="shared" si="22"/>
        <v>4341600</v>
      </c>
      <c r="S35" s="524">
        <f t="shared" si="20"/>
        <v>20421600</v>
      </c>
      <c r="T35" s="360"/>
      <c r="U35" s="359"/>
      <c r="V35" s="359"/>
    </row>
    <row r="36" spans="2:22" ht="15">
      <c r="B36" s="30" t="s">
        <v>71</v>
      </c>
      <c r="C36" s="19" t="s">
        <v>74</v>
      </c>
      <c r="D36" s="22"/>
      <c r="E36" s="20">
        <f>65*4000</f>
        <v>260000</v>
      </c>
      <c r="F36" s="20">
        <f t="shared" ref="F36:P36" si="28">65*4000</f>
        <v>260000</v>
      </c>
      <c r="G36" s="20">
        <f t="shared" si="28"/>
        <v>260000</v>
      </c>
      <c r="H36" s="20">
        <f t="shared" si="28"/>
        <v>260000</v>
      </c>
      <c r="I36" s="20">
        <f>(65*4000)+380000</f>
        <v>640000</v>
      </c>
      <c r="J36" s="20">
        <f t="shared" si="28"/>
        <v>260000</v>
      </c>
      <c r="K36" s="20">
        <f t="shared" si="28"/>
        <v>260000</v>
      </c>
      <c r="L36" s="20">
        <f t="shared" si="28"/>
        <v>260000</v>
      </c>
      <c r="M36" s="20">
        <f t="shared" si="28"/>
        <v>260000</v>
      </c>
      <c r="N36" s="20">
        <f t="shared" si="28"/>
        <v>260000</v>
      </c>
      <c r="O36" s="20">
        <f t="shared" si="28"/>
        <v>260000</v>
      </c>
      <c r="P36" s="20">
        <f t="shared" si="28"/>
        <v>260000</v>
      </c>
      <c r="Q36" s="20">
        <f t="shared" si="19"/>
        <v>3500000</v>
      </c>
      <c r="R36" s="22">
        <f t="shared" si="22"/>
        <v>945000.00000000012</v>
      </c>
      <c r="S36" s="524">
        <f t="shared" si="20"/>
        <v>4445000</v>
      </c>
      <c r="T36" s="360"/>
      <c r="U36" s="359"/>
      <c r="V36" s="359"/>
    </row>
    <row r="37" spans="2:22" ht="15">
      <c r="B37" s="30" t="s">
        <v>73</v>
      </c>
      <c r="C37" s="19" t="s">
        <v>106</v>
      </c>
      <c r="D37" s="22"/>
      <c r="E37" s="20">
        <v>1980000</v>
      </c>
      <c r="F37" s="20">
        <f>18000000/11</f>
        <v>1636363.6363636365</v>
      </c>
      <c r="G37" s="20">
        <f t="shared" ref="G37:P37" si="29">18000000/11</f>
        <v>1636363.6363636365</v>
      </c>
      <c r="H37" s="20">
        <f t="shared" si="29"/>
        <v>1636363.6363636365</v>
      </c>
      <c r="I37" s="20">
        <f t="shared" si="29"/>
        <v>1636363.6363636365</v>
      </c>
      <c r="J37" s="20">
        <f t="shared" si="29"/>
        <v>1636363.6363636365</v>
      </c>
      <c r="K37" s="20">
        <f t="shared" si="29"/>
        <v>1636363.6363636365</v>
      </c>
      <c r="L37" s="20">
        <f t="shared" si="29"/>
        <v>1636363.6363636365</v>
      </c>
      <c r="M37" s="20">
        <f t="shared" si="29"/>
        <v>1636363.6363636365</v>
      </c>
      <c r="N37" s="20">
        <f t="shared" si="29"/>
        <v>1636363.6363636365</v>
      </c>
      <c r="O37" s="20">
        <f t="shared" si="29"/>
        <v>1636363.6363636365</v>
      </c>
      <c r="P37" s="20">
        <f t="shared" si="29"/>
        <v>1636363.6363636365</v>
      </c>
      <c r="Q37" s="20">
        <f t="shared" si="19"/>
        <v>19980000.000000004</v>
      </c>
      <c r="R37" s="22">
        <f t="shared" si="22"/>
        <v>5394600.0000000009</v>
      </c>
      <c r="S37" s="524">
        <f t="shared" si="20"/>
        <v>25374600.000000004</v>
      </c>
      <c r="T37" s="360"/>
      <c r="U37" s="359"/>
      <c r="V37" s="359"/>
    </row>
    <row r="38" spans="2:22" ht="15">
      <c r="B38" s="30" t="s">
        <v>75</v>
      </c>
      <c r="C38" s="19" t="s">
        <v>76</v>
      </c>
      <c r="D38" s="72">
        <v>5286</v>
      </c>
      <c r="E38" s="20">
        <f>1200000+450000+350000</f>
        <v>2000000</v>
      </c>
      <c r="F38" s="20">
        <f>1200000+450000</f>
        <v>1650000</v>
      </c>
      <c r="G38" s="20">
        <f>1200000+450000+350000</f>
        <v>2000000</v>
      </c>
      <c r="H38" s="20">
        <f>1200000+450000</f>
        <v>1650000</v>
      </c>
      <c r="I38" s="20">
        <f>1200000+450000+350000</f>
        <v>2000000</v>
      </c>
      <c r="J38" s="20">
        <f>1200000+450000</f>
        <v>1650000</v>
      </c>
      <c r="K38" s="20">
        <f>1200000+450000+350000</f>
        <v>2000000</v>
      </c>
      <c r="L38" s="20">
        <f>1200000+450000</f>
        <v>1650000</v>
      </c>
      <c r="M38" s="20">
        <f>1200000+450000+350000</f>
        <v>2000000</v>
      </c>
      <c r="N38" s="20">
        <f>1200000+450000</f>
        <v>1650000</v>
      </c>
      <c r="O38" s="20">
        <f>1200000+450000+350000</f>
        <v>2000000</v>
      </c>
      <c r="P38" s="20">
        <f t="shared" ref="P38" si="30">1200000+450000</f>
        <v>1650000</v>
      </c>
      <c r="Q38" s="20">
        <f t="shared" si="19"/>
        <v>21900000</v>
      </c>
      <c r="R38" s="22">
        <f t="shared" si="22"/>
        <v>5913000</v>
      </c>
      <c r="S38" s="524">
        <f t="shared" si="20"/>
        <v>27813000</v>
      </c>
      <c r="T38" s="360"/>
      <c r="U38" s="359"/>
      <c r="V38" s="359"/>
    </row>
    <row r="39" spans="2:22" ht="15">
      <c r="B39" s="30" t="s">
        <v>96</v>
      </c>
      <c r="C39" s="19" t="s">
        <v>108</v>
      </c>
      <c r="D39" s="76">
        <v>5299</v>
      </c>
      <c r="E39" s="20">
        <v>2000000</v>
      </c>
      <c r="F39" s="20">
        <v>2000000</v>
      </c>
      <c r="G39" s="20">
        <v>2000000</v>
      </c>
      <c r="H39" s="20">
        <v>2000000</v>
      </c>
      <c r="I39" s="20"/>
      <c r="J39" s="20"/>
      <c r="K39" s="20"/>
      <c r="L39" s="20"/>
      <c r="M39" s="20"/>
      <c r="N39" s="20"/>
      <c r="O39" s="20"/>
      <c r="P39" s="20"/>
      <c r="Q39" s="20">
        <f t="shared" si="19"/>
        <v>8000000</v>
      </c>
      <c r="R39" s="22">
        <f t="shared" ref="R39:R40" si="31">+Q39*0.27</f>
        <v>2160000</v>
      </c>
      <c r="S39" s="524">
        <f t="shared" ref="S39:S40" si="32">+R39+Q39</f>
        <v>10160000</v>
      </c>
      <c r="T39" s="391"/>
      <c r="U39" s="359"/>
      <c r="V39" s="359"/>
    </row>
    <row r="40" spans="2:22" ht="15">
      <c r="B40" s="30" t="s">
        <v>97</v>
      </c>
      <c r="C40" s="19" t="s">
        <v>380</v>
      </c>
      <c r="D40" s="72"/>
      <c r="E40" s="20">
        <v>2000000</v>
      </c>
      <c r="F40" s="20">
        <v>2000000</v>
      </c>
      <c r="G40" s="20">
        <v>2000000</v>
      </c>
      <c r="H40" s="20">
        <v>2000000</v>
      </c>
      <c r="I40" s="20"/>
      <c r="J40" s="20"/>
      <c r="K40" s="20"/>
      <c r="L40" s="20"/>
      <c r="M40" s="20"/>
      <c r="N40" s="20"/>
      <c r="O40" s="20"/>
      <c r="P40" s="20"/>
      <c r="Q40" s="20">
        <f t="shared" si="19"/>
        <v>8000000</v>
      </c>
      <c r="R40" s="22">
        <f t="shared" si="31"/>
        <v>2160000</v>
      </c>
      <c r="S40" s="522">
        <f t="shared" si="32"/>
        <v>10160000</v>
      </c>
      <c r="T40" s="391"/>
      <c r="U40" s="359"/>
      <c r="V40" s="359"/>
    </row>
    <row r="41" spans="2:22">
      <c r="D41" s="47"/>
      <c r="T41" s="360"/>
      <c r="U41" s="359"/>
      <c r="V41" s="359"/>
    </row>
    <row r="42" spans="2:22" s="45" customFormat="1" ht="15">
      <c r="B42" s="41"/>
      <c r="C42" s="462" t="s">
        <v>99</v>
      </c>
      <c r="D42" s="461"/>
      <c r="E42" s="44">
        <f t="shared" ref="E42:S42" si="33">+E25+E17+E6</f>
        <v>37099378.333333336</v>
      </c>
      <c r="F42" s="44">
        <f t="shared" si="33"/>
        <v>38577408.63636364</v>
      </c>
      <c r="G42" s="44">
        <f t="shared" si="33"/>
        <v>40909908.63636364</v>
      </c>
      <c r="H42" s="44">
        <f t="shared" si="33"/>
        <v>37735908.63636364</v>
      </c>
      <c r="I42" s="44">
        <f t="shared" si="33"/>
        <v>31759241.969696969</v>
      </c>
      <c r="J42" s="44">
        <f t="shared" si="33"/>
        <v>32598408.636363637</v>
      </c>
      <c r="K42" s="44">
        <f t="shared" si="33"/>
        <v>31165908.636363637</v>
      </c>
      <c r="L42" s="44">
        <f t="shared" si="33"/>
        <v>30815908.636363637</v>
      </c>
      <c r="M42" s="44">
        <f t="shared" si="33"/>
        <v>33361741.969696969</v>
      </c>
      <c r="N42" s="44">
        <f t="shared" si="33"/>
        <v>33135908.636363637</v>
      </c>
      <c r="O42" s="44">
        <f t="shared" si="33"/>
        <v>33527408.636363637</v>
      </c>
      <c r="P42" s="44">
        <f t="shared" si="33"/>
        <v>52235408.63636364</v>
      </c>
      <c r="Q42" s="44">
        <f t="shared" si="33"/>
        <v>432922540</v>
      </c>
      <c r="R42" s="44">
        <f t="shared" si="33"/>
        <v>44661824.280000001</v>
      </c>
      <c r="S42" s="387">
        <f t="shared" si="33"/>
        <v>477584364.27999997</v>
      </c>
      <c r="T42" s="393"/>
      <c r="U42" s="388"/>
      <c r="V42" s="388"/>
    </row>
    <row r="43" spans="2:22" s="40" customFormat="1" ht="15">
      <c r="B43" s="46"/>
      <c r="C43" s="463"/>
      <c r="D43" s="463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394"/>
      <c r="U43" s="389"/>
      <c r="V43" s="389"/>
    </row>
    <row r="44" spans="2:22" ht="15">
      <c r="B44" s="49">
        <v>4</v>
      </c>
      <c r="C44" s="460" t="s">
        <v>77</v>
      </c>
      <c r="D44" s="460"/>
      <c r="E44" s="52">
        <f>SUM(E45:E46)</f>
        <v>0</v>
      </c>
      <c r="F44" s="52">
        <f t="shared" ref="F44:P44" si="34">SUM(F45:F46)</f>
        <v>0</v>
      </c>
      <c r="G44" s="52">
        <f t="shared" si="34"/>
        <v>0</v>
      </c>
      <c r="H44" s="52">
        <f t="shared" si="34"/>
        <v>0</v>
      </c>
      <c r="I44" s="52">
        <f t="shared" si="34"/>
        <v>0</v>
      </c>
      <c r="J44" s="52">
        <f t="shared" si="34"/>
        <v>4177004</v>
      </c>
      <c r="K44" s="52">
        <f t="shared" si="34"/>
        <v>0</v>
      </c>
      <c r="L44" s="52">
        <f t="shared" si="34"/>
        <v>0</v>
      </c>
      <c r="M44" s="52">
        <f t="shared" si="34"/>
        <v>3754516</v>
      </c>
      <c r="N44" s="52">
        <f t="shared" si="34"/>
        <v>0</v>
      </c>
      <c r="O44" s="52">
        <f t="shared" si="34"/>
        <v>0</v>
      </c>
      <c r="P44" s="52">
        <f t="shared" si="34"/>
        <v>0</v>
      </c>
      <c r="Q44" s="54">
        <f>SUM(Q45:Q46)</f>
        <v>7931520</v>
      </c>
      <c r="R44" s="54">
        <f>SUM(R45:R46)</f>
        <v>0</v>
      </c>
      <c r="S44" s="55">
        <f>SUM(S45:S46)</f>
        <v>7931520</v>
      </c>
      <c r="T44" s="360"/>
      <c r="U44" s="359"/>
    </row>
    <row r="45" spans="2:22" s="57" customFormat="1" ht="15">
      <c r="B45" s="46" t="s">
        <v>78</v>
      </c>
      <c r="C45" s="56" t="s">
        <v>79</v>
      </c>
      <c r="D45" s="19"/>
      <c r="E45" s="20"/>
      <c r="F45" s="20"/>
      <c r="G45" s="20"/>
      <c r="H45" s="20"/>
      <c r="I45" s="20"/>
      <c r="J45" s="20">
        <f>515354+111192+445837+8341+2905402+190878</f>
        <v>4177004</v>
      </c>
      <c r="K45" s="20"/>
      <c r="L45" s="20"/>
      <c r="M45" s="20">
        <f>165008+40024+160108+2995+1043376+75910+17838+66506+1244+433403+198367+97768+163898</f>
        <v>2466445</v>
      </c>
      <c r="N45" s="20"/>
      <c r="O45" s="20"/>
      <c r="P45" s="20"/>
      <c r="Q45" s="20">
        <f>SUM(E45:P45)</f>
        <v>6643449</v>
      </c>
      <c r="R45" s="20"/>
      <c r="S45" s="302">
        <f>SUM(Q45:R45)</f>
        <v>6643449</v>
      </c>
      <c r="T45" s="395"/>
      <c r="U45" s="390"/>
    </row>
    <row r="46" spans="2:22" ht="15">
      <c r="B46" s="46" t="s">
        <v>80</v>
      </c>
      <c r="C46" s="56" t="s">
        <v>81</v>
      </c>
      <c r="D46" s="19"/>
      <c r="E46" s="20"/>
      <c r="F46" s="20"/>
      <c r="G46" s="20"/>
      <c r="H46" s="20"/>
      <c r="I46" s="20"/>
      <c r="J46" s="20"/>
      <c r="K46" s="20"/>
      <c r="L46" s="20"/>
      <c r="M46" s="20">
        <v>1288071</v>
      </c>
      <c r="N46" s="20"/>
      <c r="O46" s="20"/>
      <c r="P46" s="20"/>
      <c r="Q46" s="20">
        <f>SUM(E46:P46)</f>
        <v>1288071</v>
      </c>
      <c r="R46" s="20"/>
      <c r="S46" s="302">
        <f>SUM(Q46:R46)</f>
        <v>1288071</v>
      </c>
      <c r="T46" s="360"/>
      <c r="U46" s="359"/>
    </row>
    <row r="47" spans="2:22" ht="15">
      <c r="B47" s="46"/>
      <c r="C47" s="47"/>
      <c r="D47" s="47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360"/>
    </row>
    <row r="48" spans="2:22" s="58" customFormat="1" ht="18.75" customHeight="1">
      <c r="C48" s="38" t="s">
        <v>82</v>
      </c>
      <c r="D48" s="38"/>
      <c r="E48" s="59">
        <f>+E44+E42</f>
        <v>37099378.333333336</v>
      </c>
      <c r="F48" s="59">
        <f t="shared" ref="F48:P48" si="35">+F44+F42</f>
        <v>38577408.63636364</v>
      </c>
      <c r="G48" s="59">
        <f t="shared" si="35"/>
        <v>40909908.63636364</v>
      </c>
      <c r="H48" s="59">
        <f t="shared" si="35"/>
        <v>37735908.63636364</v>
      </c>
      <c r="I48" s="59">
        <f t="shared" si="35"/>
        <v>31759241.969696969</v>
      </c>
      <c r="J48" s="59">
        <f t="shared" si="35"/>
        <v>36775412.63636364</v>
      </c>
      <c r="K48" s="59">
        <f t="shared" si="35"/>
        <v>31165908.636363637</v>
      </c>
      <c r="L48" s="59">
        <f t="shared" si="35"/>
        <v>30815908.636363637</v>
      </c>
      <c r="M48" s="59">
        <f t="shared" si="35"/>
        <v>37116257.969696969</v>
      </c>
      <c r="N48" s="59">
        <f t="shared" si="35"/>
        <v>33135908.636363637</v>
      </c>
      <c r="O48" s="59">
        <f t="shared" si="35"/>
        <v>33527408.636363637</v>
      </c>
      <c r="P48" s="59">
        <f t="shared" si="35"/>
        <v>52235408.63636364</v>
      </c>
      <c r="Q48" s="59">
        <f>+Q44+Q42</f>
        <v>440854060</v>
      </c>
      <c r="R48" s="59">
        <f>+R44+R42</f>
        <v>44661824.280000001</v>
      </c>
      <c r="S48" s="392">
        <f>+S44+S42</f>
        <v>485515884.27999997</v>
      </c>
      <c r="T48" s="396"/>
    </row>
    <row r="49" spans="1:126">
      <c r="T49" s="16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7"/>
      <c r="BK49" s="17"/>
      <c r="BL49" s="17"/>
      <c r="BM49" s="17"/>
      <c r="BN49" s="17"/>
      <c r="BO49" s="17"/>
      <c r="BP49" s="17"/>
      <c r="BQ49" s="17"/>
      <c r="BR49" s="17"/>
      <c r="BS49" s="17"/>
      <c r="BT49" s="17"/>
      <c r="BU49" s="17"/>
      <c r="BV49" s="17"/>
      <c r="BW49" s="17"/>
      <c r="BX49" s="17"/>
      <c r="BY49" s="17"/>
      <c r="BZ49" s="17"/>
      <c r="CA49" s="17"/>
      <c r="CB49" s="17"/>
      <c r="CC49" s="17"/>
      <c r="CD49" s="17"/>
      <c r="CE49" s="17"/>
      <c r="CF49" s="17"/>
      <c r="CG49" s="17"/>
      <c r="CH49" s="17"/>
      <c r="CI49" s="17"/>
      <c r="CJ49" s="17"/>
      <c r="CK49" s="17"/>
      <c r="CL49" s="17"/>
      <c r="CM49" s="17"/>
      <c r="CN49" s="17"/>
      <c r="CO49" s="17"/>
      <c r="CP49" s="17"/>
      <c r="CQ49" s="17"/>
      <c r="CR49" s="17"/>
      <c r="CS49" s="17"/>
      <c r="CT49" s="17"/>
      <c r="CU49" s="17"/>
      <c r="CV49" s="17"/>
      <c r="CW49" s="17"/>
      <c r="CX49" s="17"/>
      <c r="CY49" s="17"/>
      <c r="CZ49" s="17"/>
      <c r="DA49" s="17"/>
      <c r="DB49" s="17"/>
      <c r="DC49" s="17"/>
      <c r="DD49" s="17"/>
      <c r="DE49" s="17"/>
      <c r="DF49" s="17"/>
      <c r="DG49" s="17"/>
      <c r="DH49" s="17"/>
      <c r="DI49" s="17"/>
      <c r="DJ49" s="17"/>
      <c r="DK49" s="17"/>
      <c r="DL49" s="17"/>
      <c r="DM49" s="17"/>
      <c r="DN49" s="17"/>
      <c r="DO49" s="17"/>
      <c r="DP49" s="17"/>
      <c r="DQ49" s="17"/>
      <c r="DR49" s="17"/>
      <c r="DS49" s="17"/>
      <c r="DT49" s="17"/>
      <c r="DU49" s="17"/>
      <c r="DV49" s="17"/>
    </row>
    <row r="50" spans="1:126" s="354" customFormat="1" ht="12.75">
      <c r="A50" s="361"/>
      <c r="B50" s="397">
        <v>5</v>
      </c>
      <c r="C50" s="398" t="s">
        <v>272</v>
      </c>
      <c r="D50" s="399"/>
      <c r="E50" s="379">
        <f t="shared" ref="E50:S50" si="36">SUM(E51:E53)</f>
        <v>0</v>
      </c>
      <c r="F50" s="379">
        <f t="shared" si="36"/>
        <v>0</v>
      </c>
      <c r="G50" s="379">
        <f t="shared" si="36"/>
        <v>10500000</v>
      </c>
      <c r="H50" s="379">
        <f t="shared" si="36"/>
        <v>2600000</v>
      </c>
      <c r="I50" s="379">
        <f t="shared" si="36"/>
        <v>0</v>
      </c>
      <c r="J50" s="379">
        <f t="shared" si="36"/>
        <v>0</v>
      </c>
      <c r="K50" s="379">
        <f t="shared" si="36"/>
        <v>0</v>
      </c>
      <c r="L50" s="379">
        <f t="shared" si="36"/>
        <v>7500000</v>
      </c>
      <c r="M50" s="379">
        <f t="shared" si="36"/>
        <v>0</v>
      </c>
      <c r="N50" s="379">
        <f t="shared" si="36"/>
        <v>0</v>
      </c>
      <c r="O50" s="379">
        <f t="shared" si="36"/>
        <v>0</v>
      </c>
      <c r="P50" s="379">
        <f t="shared" si="36"/>
        <v>10500000</v>
      </c>
      <c r="Q50" s="379">
        <f t="shared" si="36"/>
        <v>20350000</v>
      </c>
      <c r="R50" s="379">
        <f t="shared" si="36"/>
        <v>5494500</v>
      </c>
      <c r="S50" s="379">
        <f t="shared" si="36"/>
        <v>25844500</v>
      </c>
      <c r="T50" s="400"/>
      <c r="U50" s="361"/>
      <c r="V50" s="361"/>
      <c r="W50" s="361"/>
      <c r="X50" s="361"/>
      <c r="Y50" s="361"/>
      <c r="Z50" s="361"/>
      <c r="AA50" s="361"/>
      <c r="AB50" s="361"/>
      <c r="AC50" s="361"/>
      <c r="AD50" s="361"/>
      <c r="AE50" s="361"/>
      <c r="AF50" s="361"/>
      <c r="AG50" s="361"/>
      <c r="AH50" s="361"/>
      <c r="AI50" s="361"/>
      <c r="AJ50" s="361"/>
      <c r="AK50" s="361"/>
      <c r="AL50" s="361"/>
      <c r="AM50" s="361"/>
      <c r="AN50" s="361"/>
      <c r="AO50" s="361"/>
      <c r="AP50" s="361"/>
      <c r="AQ50" s="361"/>
      <c r="AR50" s="361"/>
      <c r="AS50" s="361"/>
      <c r="AT50" s="361"/>
      <c r="AU50" s="361"/>
      <c r="AV50" s="361"/>
      <c r="AW50" s="361"/>
      <c r="AX50" s="361"/>
      <c r="AY50" s="361"/>
      <c r="AZ50" s="361"/>
      <c r="BA50" s="361"/>
      <c r="BB50" s="361"/>
      <c r="BC50" s="361"/>
      <c r="BD50" s="361"/>
      <c r="BE50" s="361"/>
      <c r="BF50" s="361"/>
      <c r="BG50" s="361"/>
      <c r="BH50" s="361"/>
      <c r="BI50" s="361"/>
      <c r="BJ50" s="361"/>
      <c r="BK50" s="361"/>
      <c r="BL50" s="361"/>
      <c r="BM50" s="361"/>
      <c r="BN50" s="361"/>
      <c r="BO50" s="361"/>
      <c r="BP50" s="361"/>
      <c r="BQ50" s="361"/>
      <c r="BR50" s="361"/>
      <c r="BS50" s="361"/>
      <c r="BT50" s="361"/>
      <c r="BU50" s="361"/>
      <c r="BV50" s="361"/>
      <c r="BW50" s="361"/>
      <c r="BX50" s="361"/>
      <c r="BY50" s="361"/>
      <c r="BZ50" s="361"/>
      <c r="CA50" s="361"/>
      <c r="CB50" s="361"/>
      <c r="CC50" s="361"/>
      <c r="CD50" s="361"/>
      <c r="CE50" s="361"/>
      <c r="CF50" s="361"/>
      <c r="CG50" s="361"/>
      <c r="CH50" s="361"/>
      <c r="CI50" s="361"/>
      <c r="CJ50" s="361"/>
      <c r="CK50" s="361"/>
      <c r="CL50" s="361"/>
      <c r="CM50" s="361"/>
      <c r="CN50" s="361"/>
      <c r="CO50" s="361"/>
      <c r="CP50" s="361"/>
      <c r="CQ50" s="361"/>
      <c r="CR50" s="361"/>
      <c r="CS50" s="361"/>
      <c r="CT50" s="361"/>
      <c r="CU50" s="361"/>
      <c r="CV50" s="361"/>
      <c r="CW50" s="361"/>
      <c r="CX50" s="361"/>
      <c r="CY50" s="361"/>
      <c r="CZ50" s="361"/>
      <c r="DA50" s="361"/>
      <c r="DB50" s="361"/>
      <c r="DC50" s="361"/>
      <c r="DD50" s="361"/>
      <c r="DE50" s="361"/>
      <c r="DF50" s="361"/>
      <c r="DG50" s="361"/>
      <c r="DH50" s="361"/>
      <c r="DI50" s="361"/>
      <c r="DJ50" s="361"/>
      <c r="DK50" s="361"/>
      <c r="DL50" s="361"/>
      <c r="DM50" s="361"/>
      <c r="DN50" s="361"/>
      <c r="DO50" s="361"/>
      <c r="DP50" s="361"/>
      <c r="DQ50" s="361"/>
      <c r="DR50" s="361"/>
      <c r="DS50" s="361"/>
      <c r="DT50" s="361"/>
      <c r="DU50" s="361"/>
      <c r="DV50" s="361"/>
    </row>
    <row r="51" spans="1:126" s="284" customFormat="1" ht="12" customHeight="1">
      <c r="B51" s="551" t="s">
        <v>83</v>
      </c>
      <c r="C51" s="286" t="s">
        <v>308</v>
      </c>
      <c r="D51" s="285"/>
      <c r="E51" s="285"/>
      <c r="F51" s="285"/>
      <c r="G51" s="285"/>
      <c r="H51" s="285">
        <v>2600000</v>
      </c>
      <c r="I51" s="285"/>
      <c r="J51" s="285"/>
      <c r="K51" s="285"/>
      <c r="L51" s="285">
        <v>7500000</v>
      </c>
      <c r="M51" s="285"/>
      <c r="N51" s="285"/>
      <c r="O51" s="285"/>
      <c r="P51" s="285"/>
      <c r="Q51" s="285">
        <f>SUM(E51:P51)</f>
        <v>10100000</v>
      </c>
      <c r="R51" s="285">
        <f>+Q51*0.27</f>
        <v>2727000</v>
      </c>
      <c r="S51" s="375">
        <f>SUM(Q51:R51)</f>
        <v>12827000</v>
      </c>
      <c r="T51" s="401"/>
      <c r="U51" s="377"/>
      <c r="V51" s="377"/>
      <c r="W51" s="368"/>
      <c r="X51" s="368"/>
      <c r="Y51" s="368"/>
      <c r="Z51" s="368"/>
      <c r="AA51" s="368"/>
      <c r="AB51" s="368"/>
      <c r="AC51" s="368"/>
      <c r="AD51" s="368"/>
      <c r="AE51" s="368"/>
      <c r="AF51" s="368"/>
      <c r="AG51" s="368"/>
      <c r="AH51" s="368"/>
      <c r="AI51" s="368"/>
      <c r="AJ51" s="368"/>
      <c r="AK51" s="368"/>
      <c r="AL51" s="368"/>
      <c r="AM51" s="368"/>
      <c r="AN51" s="368"/>
      <c r="AO51" s="368"/>
      <c r="AP51" s="368"/>
      <c r="AQ51" s="368"/>
      <c r="AR51" s="368"/>
      <c r="AS51" s="368"/>
      <c r="AT51" s="368"/>
      <c r="AU51" s="368"/>
      <c r="AV51" s="368"/>
      <c r="AW51" s="368"/>
      <c r="AX51" s="368"/>
      <c r="AY51" s="368"/>
      <c r="AZ51" s="368"/>
      <c r="BA51" s="368"/>
      <c r="BB51" s="368"/>
      <c r="BC51" s="368"/>
      <c r="BD51" s="368"/>
      <c r="BE51" s="368"/>
      <c r="BF51" s="368"/>
      <c r="BG51" s="368"/>
      <c r="BH51" s="368"/>
      <c r="BI51" s="368"/>
      <c r="BJ51" s="368"/>
      <c r="BK51" s="368"/>
      <c r="BL51" s="368"/>
      <c r="BM51" s="368"/>
      <c r="BN51" s="368"/>
      <c r="BO51" s="368"/>
      <c r="BP51" s="368"/>
      <c r="BQ51" s="368"/>
      <c r="BR51" s="368"/>
      <c r="BS51" s="368"/>
      <c r="BT51" s="368"/>
      <c r="BU51" s="368"/>
      <c r="BV51" s="368"/>
      <c r="BW51" s="368"/>
      <c r="BX51" s="368"/>
      <c r="BY51" s="368"/>
      <c r="BZ51" s="368"/>
      <c r="CA51" s="368"/>
      <c r="CB51" s="368"/>
      <c r="CC51" s="368"/>
      <c r="CD51" s="368"/>
      <c r="CE51" s="368"/>
      <c r="CF51" s="368"/>
      <c r="CG51" s="368"/>
      <c r="CH51" s="368"/>
      <c r="CI51" s="368"/>
      <c r="CJ51" s="368"/>
      <c r="CK51" s="368"/>
      <c r="CL51" s="368"/>
      <c r="CM51" s="368"/>
      <c r="CN51" s="368"/>
      <c r="CO51" s="368"/>
      <c r="CP51" s="368"/>
      <c r="CQ51" s="368"/>
      <c r="CR51" s="368"/>
      <c r="CS51" s="368"/>
      <c r="CT51" s="368"/>
      <c r="CU51" s="368"/>
      <c r="CV51" s="368"/>
      <c r="CW51" s="368"/>
      <c r="CX51" s="368"/>
      <c r="CY51" s="368"/>
      <c r="CZ51" s="368"/>
      <c r="DA51" s="368"/>
      <c r="DB51" s="368"/>
      <c r="DC51" s="368"/>
      <c r="DD51" s="368"/>
      <c r="DE51" s="368"/>
      <c r="DF51" s="368"/>
      <c r="DG51" s="368"/>
      <c r="DH51" s="368"/>
      <c r="DI51" s="368"/>
      <c r="DJ51" s="368"/>
      <c r="DK51" s="368"/>
      <c r="DL51" s="368"/>
      <c r="DM51" s="368"/>
      <c r="DN51" s="368"/>
      <c r="DO51" s="368"/>
      <c r="DP51" s="368"/>
      <c r="DQ51" s="368"/>
      <c r="DR51" s="368"/>
      <c r="DS51" s="368"/>
      <c r="DT51" s="368"/>
      <c r="DU51" s="368"/>
      <c r="DV51" s="368"/>
    </row>
    <row r="52" spans="1:126" s="284" customFormat="1" ht="12.75">
      <c r="B52" s="552" t="s">
        <v>376</v>
      </c>
      <c r="C52" s="286" t="s">
        <v>377</v>
      </c>
      <c r="D52" s="285"/>
      <c r="E52" s="285"/>
      <c r="F52" s="285"/>
      <c r="G52" s="285">
        <v>8500000</v>
      </c>
      <c r="H52" s="285"/>
      <c r="I52" s="285"/>
      <c r="J52" s="285"/>
      <c r="K52" s="285"/>
      <c r="L52" s="285"/>
      <c r="M52" s="285"/>
      <c r="N52" s="285"/>
      <c r="O52" s="285"/>
      <c r="P52" s="378">
        <f t="shared" ref="P52:P53" si="37">SUM(D52:O52)</f>
        <v>8500000</v>
      </c>
      <c r="Q52" s="285">
        <v>8250000</v>
      </c>
      <c r="R52" s="285">
        <f t="shared" ref="R52:R53" si="38">+Q52*0.27</f>
        <v>2227500</v>
      </c>
      <c r="S52" s="285">
        <f t="shared" ref="S52:S53" si="39">SUM(Q52:R52)</f>
        <v>10477500</v>
      </c>
      <c r="T52" s="377"/>
      <c r="U52" s="377"/>
      <c r="V52" s="368"/>
      <c r="W52" s="368"/>
      <c r="X52" s="368"/>
      <c r="Y52" s="368"/>
      <c r="Z52" s="368"/>
      <c r="AA52" s="368"/>
      <c r="AB52" s="368"/>
      <c r="AC52" s="368"/>
      <c r="AD52" s="368"/>
      <c r="AE52" s="368"/>
      <c r="AF52" s="368"/>
      <c r="AG52" s="368"/>
      <c r="AH52" s="368"/>
      <c r="AI52" s="368"/>
      <c r="AJ52" s="368"/>
      <c r="AK52" s="368"/>
      <c r="AL52" s="368"/>
      <c r="AM52" s="368"/>
      <c r="AN52" s="368"/>
      <c r="AO52" s="368"/>
      <c r="AP52" s="368"/>
      <c r="AQ52" s="368"/>
      <c r="AR52" s="368"/>
      <c r="AS52" s="368"/>
      <c r="AT52" s="368"/>
      <c r="AU52" s="368"/>
      <c r="AV52" s="368"/>
      <c r="AW52" s="368"/>
      <c r="AX52" s="368"/>
      <c r="AY52" s="368"/>
      <c r="AZ52" s="368"/>
      <c r="BA52" s="368"/>
      <c r="BB52" s="368"/>
      <c r="BC52" s="368"/>
      <c r="BD52" s="368"/>
      <c r="BE52" s="368"/>
      <c r="BF52" s="368"/>
      <c r="BG52" s="368"/>
      <c r="BH52" s="368"/>
      <c r="BI52" s="368"/>
      <c r="BJ52" s="368"/>
      <c r="BK52" s="368"/>
      <c r="BL52" s="368"/>
      <c r="BM52" s="368"/>
      <c r="BN52" s="368"/>
      <c r="BO52" s="368"/>
      <c r="BP52" s="368"/>
      <c r="BQ52" s="368"/>
      <c r="BR52" s="368"/>
      <c r="BS52" s="368"/>
      <c r="BT52" s="368"/>
      <c r="BU52" s="368"/>
      <c r="BV52" s="368"/>
      <c r="BW52" s="368"/>
      <c r="BX52" s="368"/>
      <c r="BY52" s="368"/>
      <c r="BZ52" s="368"/>
      <c r="CA52" s="368"/>
      <c r="CB52" s="368"/>
      <c r="CC52" s="368"/>
      <c r="CD52" s="368"/>
      <c r="CE52" s="368"/>
      <c r="CF52" s="368"/>
      <c r="CG52" s="368"/>
      <c r="CH52" s="368"/>
      <c r="CI52" s="368"/>
      <c r="CJ52" s="368"/>
      <c r="CK52" s="368"/>
      <c r="CL52" s="368"/>
      <c r="CM52" s="368"/>
      <c r="CN52" s="368"/>
      <c r="CO52" s="368"/>
      <c r="CP52" s="368"/>
      <c r="CQ52" s="368"/>
      <c r="CR52" s="368"/>
      <c r="CS52" s="368"/>
      <c r="CT52" s="368"/>
      <c r="CU52" s="368"/>
      <c r="CV52" s="368"/>
      <c r="CW52" s="368"/>
      <c r="CX52" s="368"/>
      <c r="CY52" s="368"/>
      <c r="CZ52" s="368"/>
      <c r="DA52" s="368"/>
      <c r="DB52" s="368"/>
      <c r="DC52" s="368"/>
      <c r="DD52" s="368"/>
      <c r="DE52" s="368"/>
      <c r="DF52" s="368"/>
      <c r="DG52" s="368"/>
      <c r="DH52" s="368"/>
      <c r="DI52" s="368"/>
      <c r="DJ52" s="368"/>
      <c r="DK52" s="368"/>
      <c r="DL52" s="368"/>
      <c r="DM52" s="368"/>
      <c r="DN52" s="368"/>
      <c r="DO52" s="368"/>
      <c r="DP52" s="368"/>
      <c r="DQ52" s="368"/>
      <c r="DR52" s="368"/>
      <c r="DS52" s="368"/>
      <c r="DT52" s="368"/>
      <c r="DU52" s="368"/>
      <c r="DV52" s="368"/>
    </row>
    <row r="53" spans="1:126" s="284" customFormat="1" ht="12.75">
      <c r="B53" s="552" t="s">
        <v>86</v>
      </c>
      <c r="C53" s="286" t="s">
        <v>378</v>
      </c>
      <c r="D53" s="285"/>
      <c r="E53" s="285"/>
      <c r="F53" s="285"/>
      <c r="G53" s="285">
        <v>2000000</v>
      </c>
      <c r="H53" s="285"/>
      <c r="I53" s="285"/>
      <c r="J53" s="285"/>
      <c r="K53" s="285"/>
      <c r="L53" s="285"/>
      <c r="M53" s="285"/>
      <c r="N53" s="285"/>
      <c r="O53" s="285"/>
      <c r="P53" s="378">
        <f t="shared" si="37"/>
        <v>2000000</v>
      </c>
      <c r="Q53" s="285">
        <v>2000000</v>
      </c>
      <c r="R53" s="285">
        <f t="shared" si="38"/>
        <v>540000</v>
      </c>
      <c r="S53" s="285">
        <f t="shared" si="39"/>
        <v>2540000</v>
      </c>
      <c r="T53" s="377"/>
      <c r="U53" s="377"/>
      <c r="V53" s="368"/>
      <c r="W53" s="368"/>
      <c r="X53" s="368"/>
      <c r="Y53" s="368"/>
      <c r="Z53" s="368"/>
      <c r="AA53" s="368"/>
      <c r="AB53" s="368"/>
      <c r="AC53" s="368"/>
      <c r="AD53" s="368"/>
      <c r="AE53" s="368"/>
      <c r="AF53" s="368"/>
      <c r="AG53" s="368"/>
      <c r="AH53" s="368"/>
      <c r="AI53" s="368"/>
      <c r="AJ53" s="368"/>
      <c r="AK53" s="368"/>
      <c r="AL53" s="368"/>
      <c r="AM53" s="368"/>
      <c r="AN53" s="368"/>
      <c r="AO53" s="368"/>
      <c r="AP53" s="368"/>
      <c r="AQ53" s="368"/>
      <c r="AR53" s="368"/>
      <c r="AS53" s="368"/>
      <c r="AT53" s="368"/>
      <c r="AU53" s="368"/>
      <c r="AV53" s="368"/>
      <c r="AW53" s="368"/>
      <c r="AX53" s="368"/>
      <c r="AY53" s="368"/>
      <c r="AZ53" s="368"/>
      <c r="BA53" s="368"/>
      <c r="BB53" s="368"/>
      <c r="BC53" s="368"/>
      <c r="BD53" s="368"/>
      <c r="BE53" s="368"/>
      <c r="BF53" s="368"/>
      <c r="BG53" s="368"/>
      <c r="BH53" s="368"/>
      <c r="BI53" s="368"/>
      <c r="BJ53" s="368"/>
      <c r="BK53" s="368"/>
      <c r="BL53" s="368"/>
      <c r="BM53" s="368"/>
      <c r="BN53" s="368"/>
      <c r="BO53" s="368"/>
      <c r="BP53" s="368"/>
      <c r="BQ53" s="368"/>
      <c r="BR53" s="368"/>
      <c r="BS53" s="368"/>
      <c r="BT53" s="368"/>
      <c r="BU53" s="368"/>
      <c r="BV53" s="368"/>
      <c r="BW53" s="368"/>
      <c r="BX53" s="368"/>
      <c r="BY53" s="368"/>
      <c r="BZ53" s="368"/>
      <c r="CA53" s="368"/>
      <c r="CB53" s="368"/>
      <c r="CC53" s="368"/>
      <c r="CD53" s="368"/>
      <c r="CE53" s="368"/>
      <c r="CF53" s="368"/>
      <c r="CG53" s="368"/>
      <c r="CH53" s="368"/>
      <c r="CI53" s="368"/>
      <c r="CJ53" s="368"/>
      <c r="CK53" s="368"/>
      <c r="CL53" s="368"/>
      <c r="CM53" s="368"/>
      <c r="CN53" s="368"/>
      <c r="CO53" s="368"/>
      <c r="CP53" s="368"/>
      <c r="CQ53" s="368"/>
      <c r="CR53" s="368"/>
      <c r="CS53" s="368"/>
      <c r="CT53" s="368"/>
      <c r="CU53" s="368"/>
      <c r="CV53" s="368"/>
      <c r="CW53" s="368"/>
      <c r="CX53" s="368"/>
      <c r="CY53" s="368"/>
      <c r="CZ53" s="368"/>
      <c r="DA53" s="368"/>
      <c r="DB53" s="368"/>
      <c r="DC53" s="368"/>
      <c r="DD53" s="368"/>
      <c r="DE53" s="368"/>
      <c r="DF53" s="368"/>
      <c r="DG53" s="368"/>
      <c r="DH53" s="368"/>
      <c r="DI53" s="368"/>
      <c r="DJ53" s="368"/>
      <c r="DK53" s="368"/>
      <c r="DL53" s="368"/>
      <c r="DM53" s="368"/>
      <c r="DN53" s="368"/>
      <c r="DO53" s="368"/>
      <c r="DP53" s="368"/>
      <c r="DQ53" s="368"/>
      <c r="DR53" s="368"/>
      <c r="DS53" s="368"/>
      <c r="DT53" s="368"/>
      <c r="DU53" s="368"/>
      <c r="DV53" s="368"/>
    </row>
    <row r="54" spans="1:126" s="156" customFormat="1" ht="12.75">
      <c r="B54" s="364"/>
      <c r="Q54" s="283"/>
      <c r="T54" s="364"/>
      <c r="U54" s="364"/>
      <c r="V54" s="364"/>
      <c r="W54" s="369"/>
      <c r="X54" s="369"/>
      <c r="Y54" s="369"/>
      <c r="Z54" s="369"/>
      <c r="AA54" s="369"/>
      <c r="AB54" s="369"/>
      <c r="AC54" s="369"/>
      <c r="AD54" s="369"/>
      <c r="AE54" s="369"/>
      <c r="AF54" s="369"/>
      <c r="AG54" s="369"/>
      <c r="AH54" s="369"/>
      <c r="AI54" s="369"/>
      <c r="AJ54" s="369"/>
      <c r="AK54" s="369"/>
      <c r="AL54" s="369"/>
      <c r="AM54" s="369"/>
      <c r="AN54" s="369"/>
      <c r="AO54" s="369"/>
      <c r="AP54" s="369"/>
      <c r="AQ54" s="369"/>
      <c r="AR54" s="369"/>
      <c r="AS54" s="369"/>
      <c r="AT54" s="369"/>
      <c r="AU54" s="369"/>
      <c r="AV54" s="369"/>
      <c r="AW54" s="369"/>
      <c r="AX54" s="369"/>
      <c r="AY54" s="369"/>
      <c r="AZ54" s="369"/>
      <c r="BA54" s="369"/>
      <c r="BB54" s="369"/>
      <c r="BC54" s="369"/>
      <c r="BD54" s="369"/>
      <c r="BE54" s="369"/>
      <c r="BF54" s="369"/>
      <c r="BG54" s="369"/>
      <c r="BH54" s="369"/>
      <c r="BI54" s="369"/>
      <c r="BJ54" s="369"/>
      <c r="BK54" s="369"/>
      <c r="BL54" s="369"/>
      <c r="BM54" s="369"/>
      <c r="BN54" s="369"/>
      <c r="BO54" s="369"/>
      <c r="BP54" s="369"/>
      <c r="BQ54" s="369"/>
      <c r="BR54" s="369"/>
      <c r="BS54" s="369"/>
      <c r="BT54" s="369"/>
      <c r="BU54" s="369"/>
      <c r="BV54" s="369"/>
      <c r="BW54" s="369"/>
      <c r="BX54" s="369"/>
      <c r="BY54" s="369"/>
      <c r="BZ54" s="369"/>
      <c r="CA54" s="369"/>
      <c r="CB54" s="369"/>
      <c r="CC54" s="369"/>
      <c r="CD54" s="369"/>
      <c r="CE54" s="369"/>
      <c r="CF54" s="369"/>
      <c r="CG54" s="369"/>
      <c r="CH54" s="369"/>
      <c r="CI54" s="369"/>
      <c r="CJ54" s="369"/>
      <c r="CK54" s="369"/>
      <c r="CL54" s="369"/>
      <c r="CM54" s="369"/>
      <c r="CN54" s="369"/>
      <c r="CO54" s="369"/>
      <c r="CP54" s="369"/>
      <c r="CQ54" s="369"/>
      <c r="CR54" s="369"/>
      <c r="CS54" s="369"/>
      <c r="CT54" s="369"/>
      <c r="CU54" s="369"/>
      <c r="CV54" s="369"/>
      <c r="CW54" s="369"/>
      <c r="CX54" s="369"/>
      <c r="CY54" s="369"/>
      <c r="CZ54" s="369"/>
      <c r="DA54" s="369"/>
      <c r="DB54" s="369"/>
      <c r="DC54" s="369"/>
      <c r="DD54" s="369"/>
      <c r="DE54" s="369"/>
      <c r="DF54" s="369"/>
      <c r="DG54" s="369"/>
      <c r="DH54" s="369"/>
      <c r="DI54" s="369"/>
      <c r="DJ54" s="369"/>
      <c r="DK54" s="369"/>
      <c r="DL54" s="369"/>
      <c r="DM54" s="369"/>
      <c r="DN54" s="369"/>
      <c r="DO54" s="369"/>
      <c r="DP54" s="369"/>
      <c r="DQ54" s="369"/>
      <c r="DR54" s="369"/>
      <c r="DS54" s="369"/>
      <c r="DT54" s="369"/>
      <c r="DU54" s="369"/>
      <c r="DV54" s="369"/>
    </row>
    <row r="55" spans="1:126" s="156" customFormat="1" ht="12.75">
      <c r="C55" s="39" t="s">
        <v>196</v>
      </c>
      <c r="D55" s="365"/>
      <c r="E55" s="482">
        <f>+E48+E50</f>
        <v>37099378.333333336</v>
      </c>
      <c r="F55" s="482">
        <f t="shared" ref="F55:S55" si="40">+F48+F50</f>
        <v>38577408.63636364</v>
      </c>
      <c r="G55" s="482">
        <f t="shared" si="40"/>
        <v>51409908.63636364</v>
      </c>
      <c r="H55" s="482">
        <f t="shared" si="40"/>
        <v>40335908.63636364</v>
      </c>
      <c r="I55" s="482">
        <f t="shared" si="40"/>
        <v>31759241.969696969</v>
      </c>
      <c r="J55" s="482">
        <f t="shared" si="40"/>
        <v>36775412.63636364</v>
      </c>
      <c r="K55" s="482">
        <f t="shared" si="40"/>
        <v>31165908.636363637</v>
      </c>
      <c r="L55" s="482">
        <f t="shared" si="40"/>
        <v>38315908.63636364</v>
      </c>
      <c r="M55" s="482">
        <f t="shared" si="40"/>
        <v>37116257.969696969</v>
      </c>
      <c r="N55" s="482">
        <f t="shared" si="40"/>
        <v>33135908.636363637</v>
      </c>
      <c r="O55" s="482">
        <f t="shared" si="40"/>
        <v>33527408.636363637</v>
      </c>
      <c r="P55" s="482">
        <f t="shared" si="40"/>
        <v>62735408.63636364</v>
      </c>
      <c r="Q55" s="482">
        <f t="shared" si="40"/>
        <v>461204060</v>
      </c>
      <c r="R55" s="482">
        <f t="shared" si="40"/>
        <v>50156324.280000001</v>
      </c>
      <c r="S55" s="482">
        <f t="shared" si="40"/>
        <v>511360384.27999997</v>
      </c>
      <c r="T55" s="364"/>
      <c r="U55" s="364"/>
      <c r="V55" s="364"/>
      <c r="W55" s="369"/>
      <c r="X55" s="369"/>
      <c r="Y55" s="369"/>
      <c r="Z55" s="369"/>
      <c r="AA55" s="369"/>
      <c r="AB55" s="369"/>
      <c r="AC55" s="369"/>
      <c r="AD55" s="369"/>
      <c r="AE55" s="369"/>
      <c r="AF55" s="369"/>
      <c r="AG55" s="369"/>
      <c r="AH55" s="369"/>
      <c r="AI55" s="369"/>
      <c r="AJ55" s="369"/>
      <c r="AK55" s="369"/>
      <c r="AL55" s="369"/>
      <c r="AM55" s="369"/>
      <c r="AN55" s="369"/>
      <c r="AO55" s="369"/>
      <c r="AP55" s="369"/>
      <c r="AQ55" s="369"/>
      <c r="AR55" s="369"/>
      <c r="AS55" s="369"/>
      <c r="AT55" s="369"/>
      <c r="AU55" s="369"/>
      <c r="AV55" s="369"/>
      <c r="AW55" s="369"/>
      <c r="AX55" s="369"/>
      <c r="AY55" s="369"/>
      <c r="AZ55" s="369"/>
      <c r="BA55" s="369"/>
      <c r="BB55" s="369"/>
      <c r="BC55" s="369"/>
      <c r="BD55" s="369"/>
      <c r="BE55" s="369"/>
      <c r="BF55" s="369"/>
      <c r="BG55" s="369"/>
      <c r="BH55" s="369"/>
      <c r="BI55" s="369"/>
      <c r="BJ55" s="369"/>
      <c r="BK55" s="369"/>
      <c r="BL55" s="369"/>
      <c r="BM55" s="369"/>
      <c r="BN55" s="369"/>
      <c r="BO55" s="369"/>
      <c r="BP55" s="369"/>
      <c r="BQ55" s="369"/>
      <c r="BR55" s="369"/>
      <c r="BS55" s="369"/>
      <c r="BT55" s="369"/>
      <c r="BU55" s="369"/>
      <c r="BV55" s="369"/>
      <c r="BW55" s="369"/>
      <c r="BX55" s="369"/>
      <c r="BY55" s="369"/>
      <c r="BZ55" s="369"/>
      <c r="CA55" s="369"/>
      <c r="CB55" s="369"/>
      <c r="CC55" s="369"/>
      <c r="CD55" s="369"/>
      <c r="CE55" s="369"/>
      <c r="CF55" s="369"/>
      <c r="CG55" s="369"/>
      <c r="CH55" s="369"/>
      <c r="CI55" s="369"/>
      <c r="CJ55" s="369"/>
      <c r="CK55" s="369"/>
      <c r="CL55" s="369"/>
      <c r="CM55" s="369"/>
      <c r="CN55" s="369"/>
      <c r="CO55" s="369"/>
      <c r="CP55" s="369"/>
      <c r="CQ55" s="369"/>
      <c r="CR55" s="369"/>
      <c r="CS55" s="369"/>
      <c r="CT55" s="369"/>
      <c r="CU55" s="369"/>
      <c r="CV55" s="369"/>
      <c r="CW55" s="369"/>
      <c r="CX55" s="369"/>
      <c r="CY55" s="369"/>
      <c r="CZ55" s="369"/>
      <c r="DA55" s="369"/>
      <c r="DB55" s="369"/>
      <c r="DC55" s="369"/>
      <c r="DD55" s="369"/>
      <c r="DE55" s="369"/>
      <c r="DF55" s="369"/>
      <c r="DG55" s="369"/>
      <c r="DH55" s="369"/>
      <c r="DI55" s="369"/>
      <c r="DJ55" s="369"/>
      <c r="DK55" s="369"/>
      <c r="DL55" s="369"/>
      <c r="DM55" s="369"/>
      <c r="DN55" s="369"/>
      <c r="DO55" s="369"/>
      <c r="DP55" s="369"/>
      <c r="DQ55" s="369"/>
      <c r="DR55" s="369"/>
      <c r="DS55" s="369"/>
      <c r="DT55" s="369"/>
      <c r="DU55" s="369"/>
      <c r="DV55" s="369"/>
    </row>
    <row r="56" spans="1:126" s="156" customFormat="1" ht="12.75">
      <c r="Q56" s="283"/>
      <c r="T56" s="364"/>
      <c r="U56" s="364"/>
      <c r="V56" s="364"/>
      <c r="W56" s="369"/>
      <c r="X56" s="369"/>
      <c r="Y56" s="369"/>
      <c r="Z56" s="369"/>
      <c r="AA56" s="369"/>
      <c r="AB56" s="369"/>
      <c r="AC56" s="369"/>
      <c r="AD56" s="369"/>
      <c r="AE56" s="369"/>
      <c r="AF56" s="369"/>
      <c r="AG56" s="369"/>
      <c r="AH56" s="369"/>
      <c r="AI56" s="369"/>
      <c r="AJ56" s="369"/>
      <c r="AK56" s="369"/>
      <c r="AL56" s="369"/>
      <c r="AM56" s="369"/>
      <c r="AN56" s="369"/>
      <c r="AO56" s="369"/>
      <c r="AP56" s="369"/>
      <c r="AQ56" s="369"/>
      <c r="AR56" s="369"/>
      <c r="AS56" s="369"/>
      <c r="AT56" s="369"/>
      <c r="AU56" s="369"/>
      <c r="AV56" s="369"/>
      <c r="AW56" s="369"/>
      <c r="AX56" s="369"/>
      <c r="AY56" s="369"/>
      <c r="AZ56" s="369"/>
      <c r="BA56" s="369"/>
      <c r="BB56" s="369"/>
      <c r="BC56" s="369"/>
      <c r="BD56" s="369"/>
      <c r="BE56" s="369"/>
      <c r="BF56" s="369"/>
      <c r="BG56" s="369"/>
      <c r="BH56" s="369"/>
      <c r="BI56" s="369"/>
      <c r="BJ56" s="369"/>
      <c r="BK56" s="369"/>
      <c r="BL56" s="369"/>
      <c r="BM56" s="369"/>
      <c r="BN56" s="369"/>
      <c r="BO56" s="369"/>
      <c r="BP56" s="369"/>
      <c r="BQ56" s="369"/>
      <c r="BR56" s="369"/>
      <c r="BS56" s="369"/>
      <c r="BT56" s="369"/>
      <c r="BU56" s="369"/>
      <c r="BV56" s="369"/>
      <c r="BW56" s="369"/>
      <c r="BX56" s="369"/>
      <c r="BY56" s="369"/>
      <c r="BZ56" s="369"/>
      <c r="CA56" s="369"/>
      <c r="CB56" s="369"/>
      <c r="CC56" s="369"/>
      <c r="CD56" s="369"/>
      <c r="CE56" s="369"/>
      <c r="CF56" s="369"/>
      <c r="CG56" s="369"/>
      <c r="CH56" s="369"/>
      <c r="CI56" s="369"/>
      <c r="CJ56" s="369"/>
      <c r="CK56" s="369"/>
      <c r="CL56" s="369"/>
      <c r="CM56" s="369"/>
      <c r="CN56" s="369"/>
      <c r="CO56" s="369"/>
      <c r="CP56" s="369"/>
      <c r="CQ56" s="369"/>
      <c r="CR56" s="369"/>
      <c r="CS56" s="369"/>
      <c r="CT56" s="369"/>
      <c r="CU56" s="369"/>
      <c r="CV56" s="369"/>
      <c r="CW56" s="369"/>
      <c r="CX56" s="369"/>
      <c r="CY56" s="369"/>
      <c r="CZ56" s="369"/>
      <c r="DA56" s="369"/>
      <c r="DB56" s="369"/>
      <c r="DC56" s="369"/>
      <c r="DD56" s="369"/>
      <c r="DE56" s="369"/>
      <c r="DF56" s="369"/>
      <c r="DG56" s="369"/>
      <c r="DH56" s="369"/>
      <c r="DI56" s="369"/>
      <c r="DJ56" s="369"/>
      <c r="DK56" s="369"/>
      <c r="DL56" s="369"/>
      <c r="DM56" s="369"/>
      <c r="DN56" s="369"/>
      <c r="DO56" s="369"/>
      <c r="DP56" s="369"/>
      <c r="DQ56" s="369"/>
      <c r="DR56" s="369"/>
      <c r="DS56" s="369"/>
      <c r="DT56" s="369"/>
      <c r="DU56" s="369"/>
      <c r="DV56" s="369"/>
    </row>
    <row r="57" spans="1:126" s="156" customFormat="1" ht="12.75">
      <c r="Q57" s="283"/>
      <c r="T57" s="364"/>
      <c r="U57" s="364"/>
      <c r="V57" s="364"/>
      <c r="W57" s="369"/>
      <c r="X57" s="369"/>
      <c r="Y57" s="369"/>
      <c r="Z57" s="369"/>
      <c r="AA57" s="369"/>
      <c r="AB57" s="369"/>
      <c r="AC57" s="369"/>
      <c r="AD57" s="369"/>
      <c r="AE57" s="369"/>
      <c r="AF57" s="369"/>
      <c r="AG57" s="369"/>
      <c r="AH57" s="369"/>
      <c r="AI57" s="369"/>
      <c r="AJ57" s="369"/>
      <c r="AK57" s="369"/>
      <c r="AL57" s="369"/>
      <c r="AM57" s="369"/>
      <c r="AN57" s="369"/>
      <c r="AO57" s="369"/>
      <c r="AP57" s="369"/>
      <c r="AQ57" s="369"/>
      <c r="AR57" s="369"/>
      <c r="AS57" s="369"/>
      <c r="AT57" s="369"/>
      <c r="AU57" s="369"/>
      <c r="AV57" s="369"/>
      <c r="AW57" s="369"/>
      <c r="AX57" s="369"/>
      <c r="AY57" s="369"/>
      <c r="AZ57" s="369"/>
      <c r="BA57" s="369"/>
      <c r="BB57" s="369"/>
      <c r="BC57" s="369"/>
      <c r="BD57" s="369"/>
      <c r="BE57" s="369"/>
      <c r="BF57" s="369"/>
      <c r="BG57" s="369"/>
      <c r="BH57" s="369"/>
      <c r="BI57" s="369"/>
      <c r="BJ57" s="369"/>
      <c r="BK57" s="369"/>
      <c r="BL57" s="369"/>
      <c r="BM57" s="369"/>
      <c r="BN57" s="369"/>
      <c r="BO57" s="369"/>
      <c r="BP57" s="369"/>
      <c r="BQ57" s="369"/>
      <c r="BR57" s="369"/>
      <c r="BS57" s="369"/>
      <c r="BT57" s="369"/>
      <c r="BU57" s="369"/>
      <c r="BV57" s="369"/>
      <c r="BW57" s="369"/>
      <c r="BX57" s="369"/>
      <c r="BY57" s="369"/>
      <c r="BZ57" s="369"/>
      <c r="CA57" s="369"/>
      <c r="CB57" s="369"/>
      <c r="CC57" s="369"/>
      <c r="CD57" s="369"/>
      <c r="CE57" s="369"/>
      <c r="CF57" s="369"/>
      <c r="CG57" s="369"/>
      <c r="CH57" s="369"/>
      <c r="CI57" s="369"/>
      <c r="CJ57" s="369"/>
      <c r="CK57" s="369"/>
      <c r="CL57" s="369"/>
      <c r="CM57" s="369"/>
      <c r="CN57" s="369"/>
      <c r="CO57" s="369"/>
      <c r="CP57" s="369"/>
      <c r="CQ57" s="369"/>
      <c r="CR57" s="369"/>
      <c r="CS57" s="369"/>
      <c r="CT57" s="369"/>
      <c r="CU57" s="369"/>
      <c r="CV57" s="369"/>
      <c r="CW57" s="369"/>
      <c r="CX57" s="369"/>
      <c r="CY57" s="369"/>
      <c r="CZ57" s="369"/>
      <c r="DA57" s="369"/>
      <c r="DB57" s="369"/>
      <c r="DC57" s="369"/>
      <c r="DD57" s="369"/>
      <c r="DE57" s="369"/>
      <c r="DF57" s="369"/>
      <c r="DG57" s="369"/>
      <c r="DH57" s="369"/>
      <c r="DI57" s="369"/>
      <c r="DJ57" s="369"/>
      <c r="DK57" s="369"/>
      <c r="DL57" s="369"/>
      <c r="DM57" s="369"/>
      <c r="DN57" s="369"/>
      <c r="DO57" s="369"/>
      <c r="DP57" s="369"/>
      <c r="DQ57" s="369"/>
      <c r="DR57" s="369"/>
      <c r="DS57" s="369"/>
      <c r="DT57" s="369"/>
      <c r="DU57" s="369"/>
      <c r="DV57" s="369"/>
    </row>
    <row r="58" spans="1:126" s="156" customFormat="1" ht="12.75">
      <c r="Q58" s="283"/>
      <c r="T58" s="364"/>
      <c r="U58" s="364"/>
      <c r="V58" s="364"/>
      <c r="W58" s="369"/>
      <c r="X58" s="369"/>
      <c r="Y58" s="369"/>
      <c r="Z58" s="369"/>
      <c r="AA58" s="369"/>
      <c r="AB58" s="369"/>
      <c r="AC58" s="369"/>
      <c r="AD58" s="369"/>
      <c r="AE58" s="369"/>
      <c r="AF58" s="369"/>
      <c r="AG58" s="369"/>
      <c r="AH58" s="369"/>
      <c r="AI58" s="369"/>
      <c r="AJ58" s="369"/>
      <c r="AK58" s="369"/>
      <c r="AL58" s="369"/>
      <c r="AM58" s="369"/>
      <c r="AN58" s="369"/>
      <c r="AO58" s="369"/>
      <c r="AP58" s="369"/>
      <c r="AQ58" s="369"/>
      <c r="AR58" s="369"/>
      <c r="AS58" s="369"/>
      <c r="AT58" s="369"/>
      <c r="AU58" s="369"/>
      <c r="AV58" s="369"/>
      <c r="AW58" s="369"/>
      <c r="AX58" s="369"/>
      <c r="AY58" s="369"/>
      <c r="AZ58" s="369"/>
      <c r="BA58" s="369"/>
      <c r="BB58" s="369"/>
      <c r="BC58" s="369"/>
      <c r="BD58" s="369"/>
      <c r="BE58" s="369"/>
      <c r="BF58" s="369"/>
      <c r="BG58" s="369"/>
      <c r="BH58" s="369"/>
      <c r="BI58" s="369"/>
      <c r="BJ58" s="369"/>
      <c r="BK58" s="369"/>
      <c r="BL58" s="369"/>
      <c r="BM58" s="369"/>
      <c r="BN58" s="369"/>
      <c r="BO58" s="369"/>
      <c r="BP58" s="369"/>
      <c r="BQ58" s="369"/>
      <c r="BR58" s="369"/>
      <c r="BS58" s="369"/>
      <c r="BT58" s="369"/>
      <c r="BU58" s="369"/>
      <c r="BV58" s="369"/>
      <c r="BW58" s="369"/>
      <c r="BX58" s="369"/>
      <c r="BY58" s="369"/>
      <c r="BZ58" s="369"/>
      <c r="CA58" s="369"/>
      <c r="CB58" s="369"/>
      <c r="CC58" s="369"/>
      <c r="CD58" s="369"/>
      <c r="CE58" s="369"/>
      <c r="CF58" s="369"/>
      <c r="CG58" s="369"/>
      <c r="CH58" s="369"/>
      <c r="CI58" s="369"/>
      <c r="CJ58" s="369"/>
      <c r="CK58" s="369"/>
      <c r="CL58" s="369"/>
      <c r="CM58" s="369"/>
      <c r="CN58" s="369"/>
      <c r="CO58" s="369"/>
      <c r="CP58" s="369"/>
      <c r="CQ58" s="369"/>
      <c r="CR58" s="369"/>
      <c r="CS58" s="369"/>
      <c r="CT58" s="369"/>
      <c r="CU58" s="369"/>
      <c r="CV58" s="369"/>
      <c r="CW58" s="369"/>
      <c r="CX58" s="369"/>
      <c r="CY58" s="369"/>
      <c r="CZ58" s="369"/>
      <c r="DA58" s="369"/>
      <c r="DB58" s="369"/>
      <c r="DC58" s="369"/>
      <c r="DD58" s="369"/>
      <c r="DE58" s="369"/>
      <c r="DF58" s="369"/>
      <c r="DG58" s="369"/>
      <c r="DH58" s="369"/>
      <c r="DI58" s="369"/>
      <c r="DJ58" s="369"/>
      <c r="DK58" s="369"/>
      <c r="DL58" s="369"/>
      <c r="DM58" s="369"/>
      <c r="DN58" s="369"/>
      <c r="DO58" s="369"/>
      <c r="DP58" s="369"/>
      <c r="DQ58" s="369"/>
      <c r="DR58" s="369"/>
      <c r="DS58" s="369"/>
      <c r="DT58" s="369"/>
      <c r="DU58" s="369"/>
      <c r="DV58" s="369"/>
    </row>
    <row r="59" spans="1:126" s="156" customFormat="1" ht="12.75">
      <c r="Q59" s="283"/>
    </row>
    <row r="60" spans="1:126" s="156" customFormat="1" ht="12.75">
      <c r="Q60" s="283"/>
    </row>
    <row r="61" spans="1:126" s="156" customFormat="1" ht="12.75">
      <c r="Q61" s="283"/>
    </row>
    <row r="62" spans="1:126" s="156" customFormat="1" ht="12.75">
      <c r="Q62" s="283"/>
    </row>
    <row r="63" spans="1:126" s="156" customFormat="1" ht="12.75">
      <c r="Q63" s="283"/>
    </row>
    <row r="64" spans="1:126" s="156" customFormat="1" ht="12.75">
      <c r="Q64" s="283"/>
    </row>
    <row r="65" spans="17:17" s="156" customFormat="1" ht="12.75">
      <c r="Q65" s="283"/>
    </row>
    <row r="66" spans="17:17" s="156" customFormat="1" ht="12.75">
      <c r="Q66" s="283"/>
    </row>
    <row r="67" spans="17:17" s="156" customFormat="1" ht="12.75">
      <c r="Q67" s="283"/>
    </row>
    <row r="68" spans="17:17" s="156" customFormat="1" ht="12.75">
      <c r="Q68" s="283"/>
    </row>
    <row r="69" spans="17:17" s="156" customFormat="1" ht="12.75">
      <c r="Q69" s="283"/>
    </row>
    <row r="70" spans="17:17" s="156" customFormat="1" ht="12.75">
      <c r="Q70" s="283"/>
    </row>
    <row r="71" spans="17:17" s="156" customFormat="1" ht="12.75">
      <c r="Q71" s="283"/>
    </row>
    <row r="72" spans="17:17" s="156" customFormat="1" ht="12.75">
      <c r="Q72" s="283"/>
    </row>
    <row r="73" spans="17:17" s="156" customFormat="1" ht="12.75">
      <c r="Q73" s="283"/>
    </row>
    <row r="74" spans="17:17" s="156" customFormat="1" ht="12.75">
      <c r="Q74" s="283"/>
    </row>
    <row r="75" spans="17:17" s="156" customFormat="1" ht="12.75">
      <c r="Q75" s="283"/>
    </row>
    <row r="76" spans="17:17" s="156" customFormat="1" ht="12.75">
      <c r="Q76" s="283"/>
    </row>
    <row r="77" spans="17:17" s="156" customFormat="1" ht="12.75">
      <c r="Q77" s="283"/>
    </row>
    <row r="78" spans="17:17" s="156" customFormat="1" ht="12.75">
      <c r="Q78" s="283"/>
    </row>
    <row r="79" spans="17:17" s="156" customFormat="1" ht="12.75">
      <c r="Q79" s="283"/>
    </row>
    <row r="80" spans="17:17" s="156" customFormat="1" ht="12.75">
      <c r="Q80" s="283"/>
    </row>
    <row r="81" spans="17:17" s="156" customFormat="1" ht="12.75">
      <c r="Q81" s="283"/>
    </row>
    <row r="82" spans="17:17" s="156" customFormat="1" ht="12.75">
      <c r="Q82" s="283"/>
    </row>
    <row r="83" spans="17:17" s="156" customFormat="1" ht="12.75">
      <c r="Q83" s="283"/>
    </row>
    <row r="84" spans="17:17" s="156" customFormat="1" ht="12.75">
      <c r="Q84" s="283"/>
    </row>
    <row r="85" spans="17:17" s="156" customFormat="1" ht="12.75">
      <c r="Q85" s="283"/>
    </row>
    <row r="86" spans="17:17" s="156" customFormat="1" ht="12.75">
      <c r="Q86" s="283"/>
    </row>
    <row r="87" spans="17:17" s="156" customFormat="1" ht="12.75">
      <c r="Q87" s="283"/>
    </row>
    <row r="88" spans="17:17" s="156" customFormat="1" ht="12.75">
      <c r="Q88" s="283"/>
    </row>
    <row r="89" spans="17:17" s="156" customFormat="1" ht="12.75">
      <c r="Q89" s="283"/>
    </row>
    <row r="90" spans="17:17" s="156" customFormat="1" ht="12.75">
      <c r="Q90" s="283"/>
    </row>
    <row r="91" spans="17:17" s="156" customFormat="1" ht="12.75">
      <c r="Q91" s="283"/>
    </row>
    <row r="92" spans="17:17" s="156" customFormat="1" ht="12.75">
      <c r="Q92" s="283"/>
    </row>
    <row r="93" spans="17:17" s="156" customFormat="1" ht="12.75">
      <c r="Q93" s="283"/>
    </row>
    <row r="94" spans="17:17" s="156" customFormat="1" ht="12.75">
      <c r="Q94" s="283"/>
    </row>
    <row r="95" spans="17:17" s="156" customFormat="1" ht="12.75">
      <c r="Q95" s="283"/>
    </row>
    <row r="96" spans="17:17" s="156" customFormat="1" ht="12.75">
      <c r="Q96" s="283"/>
    </row>
    <row r="97" spans="17:17" s="156" customFormat="1" ht="12.75">
      <c r="Q97" s="283"/>
    </row>
    <row r="98" spans="17:17" s="156" customFormat="1" ht="12.75">
      <c r="Q98" s="283"/>
    </row>
    <row r="99" spans="17:17" s="156" customFormat="1" ht="12.75">
      <c r="Q99" s="283"/>
    </row>
    <row r="100" spans="17:17" s="156" customFormat="1" ht="12.75">
      <c r="Q100" s="283"/>
    </row>
    <row r="101" spans="17:17" s="156" customFormat="1" ht="12.75">
      <c r="Q101" s="283"/>
    </row>
    <row r="102" spans="17:17" s="156" customFormat="1" ht="12.75">
      <c r="Q102" s="283"/>
    </row>
    <row r="103" spans="17:17" s="156" customFormat="1" ht="12.75">
      <c r="Q103" s="283"/>
    </row>
    <row r="104" spans="17:17" s="156" customFormat="1" ht="12.75">
      <c r="Q104" s="283"/>
    </row>
    <row r="105" spans="17:17" s="156" customFormat="1" ht="12.75">
      <c r="Q105" s="283"/>
    </row>
    <row r="106" spans="17:17" s="156" customFormat="1" ht="12.75">
      <c r="Q106" s="283"/>
    </row>
    <row r="107" spans="17:17" s="156" customFormat="1" ht="12.75">
      <c r="Q107" s="283"/>
    </row>
    <row r="108" spans="17:17" s="156" customFormat="1" ht="12.75">
      <c r="Q108" s="283"/>
    </row>
    <row r="109" spans="17:17" s="156" customFormat="1" ht="12.75">
      <c r="Q109" s="283"/>
    </row>
    <row r="110" spans="17:17" s="156" customFormat="1" ht="12.75">
      <c r="Q110" s="283"/>
    </row>
    <row r="111" spans="17:17" s="156" customFormat="1" ht="12.75">
      <c r="Q111" s="283"/>
    </row>
    <row r="112" spans="17:17" s="156" customFormat="1" ht="12.75">
      <c r="Q112" s="283"/>
    </row>
    <row r="113" spans="17:17" s="156" customFormat="1" ht="12.75">
      <c r="Q113" s="283"/>
    </row>
    <row r="114" spans="17:17" s="156" customFormat="1" ht="12.75">
      <c r="Q114" s="283"/>
    </row>
    <row r="115" spans="17:17" s="156" customFormat="1" ht="12.75">
      <c r="Q115" s="283"/>
    </row>
    <row r="116" spans="17:17" s="156" customFormat="1" ht="12.75">
      <c r="Q116" s="283"/>
    </row>
    <row r="117" spans="17:17" s="156" customFormat="1" ht="12.75">
      <c r="Q117" s="283"/>
    </row>
    <row r="118" spans="17:17" s="156" customFormat="1" ht="12.75">
      <c r="Q118" s="283"/>
    </row>
    <row r="119" spans="17:17" s="156" customFormat="1" ht="12.75">
      <c r="Q119" s="283"/>
    </row>
    <row r="120" spans="17:17" s="156" customFormat="1" ht="12.75">
      <c r="Q120" s="283"/>
    </row>
    <row r="121" spans="17:17" s="156" customFormat="1" ht="12.75">
      <c r="Q121" s="283"/>
    </row>
    <row r="122" spans="17:17" s="156" customFormat="1" ht="12.75">
      <c r="Q122" s="283"/>
    </row>
    <row r="123" spans="17:17" s="156" customFormat="1" ht="12.75">
      <c r="Q123" s="283"/>
    </row>
    <row r="124" spans="17:17" s="156" customFormat="1" ht="12.75">
      <c r="Q124" s="283"/>
    </row>
    <row r="125" spans="17:17" s="156" customFormat="1" ht="12.75">
      <c r="Q125" s="283"/>
    </row>
    <row r="126" spans="17:17" s="156" customFormat="1" ht="12.75">
      <c r="Q126" s="283"/>
    </row>
    <row r="127" spans="17:17" s="156" customFormat="1" ht="12.75">
      <c r="Q127" s="283"/>
    </row>
    <row r="128" spans="17:17" s="156" customFormat="1" ht="12.75">
      <c r="Q128" s="283"/>
    </row>
    <row r="129" spans="17:17" s="156" customFormat="1" ht="12.75">
      <c r="Q129" s="283"/>
    </row>
    <row r="130" spans="17:17" s="156" customFormat="1" ht="12.75">
      <c r="Q130" s="283"/>
    </row>
    <row r="131" spans="17:17" s="156" customFormat="1" ht="12.75">
      <c r="Q131" s="283"/>
    </row>
    <row r="132" spans="17:17" s="156" customFormat="1" ht="12.75">
      <c r="Q132" s="283"/>
    </row>
    <row r="133" spans="17:17" s="156" customFormat="1" ht="12.75">
      <c r="Q133" s="283"/>
    </row>
    <row r="134" spans="17:17" s="156" customFormat="1" ht="12.75">
      <c r="Q134" s="283"/>
    </row>
    <row r="135" spans="17:17" s="156" customFormat="1" ht="12.75">
      <c r="Q135" s="283"/>
    </row>
    <row r="136" spans="17:17" s="156" customFormat="1" ht="12.75">
      <c r="Q136" s="283"/>
    </row>
    <row r="137" spans="17:17" s="156" customFormat="1" ht="12.75">
      <c r="Q137" s="283"/>
    </row>
    <row r="138" spans="17:17" s="156" customFormat="1" ht="12.75">
      <c r="Q138" s="283"/>
    </row>
    <row r="139" spans="17:17" s="156" customFormat="1" ht="12.75">
      <c r="Q139" s="283"/>
    </row>
    <row r="140" spans="17:17" s="156" customFormat="1" ht="12.75">
      <c r="Q140" s="283"/>
    </row>
    <row r="141" spans="17:17" s="156" customFormat="1" ht="12.75">
      <c r="Q141" s="283"/>
    </row>
    <row r="142" spans="17:17" s="156" customFormat="1" ht="12.75">
      <c r="Q142" s="283"/>
    </row>
    <row r="143" spans="17:17" s="156" customFormat="1" ht="12.75">
      <c r="Q143" s="283"/>
    </row>
    <row r="144" spans="17:17" s="156" customFormat="1" ht="12.75">
      <c r="Q144" s="283"/>
    </row>
  </sheetData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5"/>
  <sheetViews>
    <sheetView workbookViewId="0">
      <pane xSplit="7" topLeftCell="AU1" activePane="topRight" state="frozen"/>
      <selection pane="topRight" activeCell="B11" sqref="B11"/>
    </sheetView>
  </sheetViews>
  <sheetFormatPr defaultRowHeight="15"/>
  <cols>
    <col min="1" max="1" width="32.140625" style="412" customWidth="1"/>
    <col min="2" max="2" width="16.28515625" style="356" bestFit="1" customWidth="1"/>
    <col min="3" max="3" width="15.28515625" style="356" bestFit="1" customWidth="1"/>
    <col min="4" max="7" width="16.28515625" style="356" customWidth="1"/>
    <col min="8" max="43" width="14.28515625" style="356" hidden="1" customWidth="1"/>
    <col min="44" max="44" width="16.85546875" style="156" hidden="1" customWidth="1"/>
    <col min="45" max="46" width="15" style="225" hidden="1" customWidth="1"/>
    <col min="47" max="49" width="9.140625" style="278" customWidth="1"/>
    <col min="50" max="16384" width="9.140625" style="278"/>
  </cols>
  <sheetData>
    <row r="1" spans="1:46">
      <c r="I1" s="356">
        <v>90</v>
      </c>
      <c r="L1" s="356">
        <v>110</v>
      </c>
      <c r="O1" s="356">
        <v>110</v>
      </c>
      <c r="R1" s="356">
        <v>100</v>
      </c>
      <c r="U1" s="356">
        <v>100</v>
      </c>
      <c r="X1" s="356">
        <v>90</v>
      </c>
      <c r="AA1" s="356">
        <v>80</v>
      </c>
      <c r="AD1" s="356">
        <v>70</v>
      </c>
      <c r="AG1" s="356">
        <v>110</v>
      </c>
      <c r="AJ1" s="356">
        <v>110</v>
      </c>
      <c r="AM1" s="356">
        <v>120</v>
      </c>
      <c r="AP1" s="356">
        <v>110</v>
      </c>
      <c r="AR1" s="413"/>
      <c r="AS1" s="440"/>
      <c r="AT1" s="440"/>
    </row>
    <row r="2" spans="1:46" s="221" customFormat="1" ht="15" customHeight="1">
      <c r="A2" s="223"/>
      <c r="B2" s="559" t="s">
        <v>348</v>
      </c>
      <c r="C2" s="560"/>
      <c r="D2" s="561"/>
      <c r="E2" s="408"/>
      <c r="F2" s="408"/>
      <c r="G2" s="345"/>
      <c r="H2" s="558" t="s">
        <v>6</v>
      </c>
      <c r="I2" s="558"/>
      <c r="J2" s="558"/>
      <c r="K2" s="558" t="s">
        <v>7</v>
      </c>
      <c r="L2" s="558"/>
      <c r="M2" s="558"/>
      <c r="N2" s="558" t="s">
        <v>8</v>
      </c>
      <c r="O2" s="558"/>
      <c r="P2" s="558"/>
      <c r="Q2" s="558" t="s">
        <v>9</v>
      </c>
      <c r="R2" s="558"/>
      <c r="S2" s="558"/>
      <c r="T2" s="558" t="s">
        <v>10</v>
      </c>
      <c r="U2" s="558"/>
      <c r="V2" s="558"/>
      <c r="W2" s="558" t="s">
        <v>11</v>
      </c>
      <c r="X2" s="558"/>
      <c r="Y2" s="558"/>
      <c r="Z2" s="558" t="s">
        <v>12</v>
      </c>
      <c r="AA2" s="558"/>
      <c r="AB2" s="558"/>
      <c r="AC2" s="558" t="s">
        <v>13</v>
      </c>
      <c r="AD2" s="558"/>
      <c r="AE2" s="558"/>
      <c r="AF2" s="558" t="s">
        <v>14</v>
      </c>
      <c r="AG2" s="558"/>
      <c r="AH2" s="558"/>
      <c r="AI2" s="558" t="s">
        <v>15</v>
      </c>
      <c r="AJ2" s="558"/>
      <c r="AK2" s="558"/>
      <c r="AL2" s="558" t="s">
        <v>16</v>
      </c>
      <c r="AM2" s="558"/>
      <c r="AN2" s="558"/>
      <c r="AO2" s="558" t="s">
        <v>17</v>
      </c>
      <c r="AP2" s="558"/>
      <c r="AQ2" s="558"/>
      <c r="AR2" s="562">
        <v>2016</v>
      </c>
      <c r="AS2" s="563"/>
      <c r="AT2" s="564"/>
    </row>
    <row r="3" spans="1:46" s="222" customFormat="1" ht="12.75">
      <c r="A3" s="224"/>
      <c r="B3" s="351" t="s">
        <v>194</v>
      </c>
      <c r="C3" s="351" t="s">
        <v>195</v>
      </c>
      <c r="D3" s="351" t="s">
        <v>367</v>
      </c>
      <c r="E3" s="351" t="s">
        <v>371</v>
      </c>
      <c r="F3" s="351" t="s">
        <v>370</v>
      </c>
      <c r="G3" s="351" t="s">
        <v>335</v>
      </c>
      <c r="H3" s="351" t="s">
        <v>194</v>
      </c>
      <c r="I3" s="351" t="s">
        <v>195</v>
      </c>
      <c r="J3" s="351" t="s">
        <v>196</v>
      </c>
      <c r="K3" s="351" t="s">
        <v>194</v>
      </c>
      <c r="L3" s="351" t="s">
        <v>195</v>
      </c>
      <c r="M3" s="351" t="s">
        <v>196</v>
      </c>
      <c r="N3" s="351" t="s">
        <v>194</v>
      </c>
      <c r="O3" s="351" t="s">
        <v>195</v>
      </c>
      <c r="P3" s="351" t="s">
        <v>196</v>
      </c>
      <c r="Q3" s="351" t="s">
        <v>194</v>
      </c>
      <c r="R3" s="351" t="s">
        <v>195</v>
      </c>
      <c r="S3" s="351" t="s">
        <v>196</v>
      </c>
      <c r="T3" s="351" t="s">
        <v>194</v>
      </c>
      <c r="U3" s="351" t="s">
        <v>195</v>
      </c>
      <c r="V3" s="351" t="s">
        <v>196</v>
      </c>
      <c r="W3" s="351" t="s">
        <v>194</v>
      </c>
      <c r="X3" s="351" t="s">
        <v>195</v>
      </c>
      <c r="Y3" s="351" t="s">
        <v>196</v>
      </c>
      <c r="Z3" s="351" t="s">
        <v>194</v>
      </c>
      <c r="AA3" s="351" t="s">
        <v>195</v>
      </c>
      <c r="AB3" s="351" t="s">
        <v>196</v>
      </c>
      <c r="AC3" s="351" t="s">
        <v>194</v>
      </c>
      <c r="AD3" s="351" t="s">
        <v>195</v>
      </c>
      <c r="AE3" s="351" t="s">
        <v>196</v>
      </c>
      <c r="AF3" s="351" t="s">
        <v>194</v>
      </c>
      <c r="AG3" s="351" t="s">
        <v>195</v>
      </c>
      <c r="AH3" s="351" t="s">
        <v>196</v>
      </c>
      <c r="AI3" s="351" t="s">
        <v>194</v>
      </c>
      <c r="AJ3" s="351" t="s">
        <v>195</v>
      </c>
      <c r="AK3" s="351" t="s">
        <v>196</v>
      </c>
      <c r="AL3" s="351" t="s">
        <v>194</v>
      </c>
      <c r="AM3" s="351" t="s">
        <v>195</v>
      </c>
      <c r="AN3" s="351" t="s">
        <v>196</v>
      </c>
      <c r="AO3" s="351" t="s">
        <v>194</v>
      </c>
      <c r="AP3" s="351" t="s">
        <v>195</v>
      </c>
      <c r="AQ3" s="351" t="s">
        <v>196</v>
      </c>
      <c r="AR3" s="352" t="s">
        <v>369</v>
      </c>
      <c r="AS3" s="457" t="s">
        <v>366</v>
      </c>
      <c r="AT3" s="457" t="s">
        <v>370</v>
      </c>
    </row>
    <row r="4" spans="1:46" s="222" customFormat="1" ht="12.75">
      <c r="A4" s="350" t="s">
        <v>337</v>
      </c>
      <c r="B4" s="349">
        <f>SUM(B5:B6)</f>
        <v>358677120</v>
      </c>
      <c r="C4" s="349">
        <f>SUM(C5:C6)</f>
        <v>44330880</v>
      </c>
      <c r="D4" s="345">
        <f>SUM(D5:D6)</f>
        <v>403008000</v>
      </c>
      <c r="E4" s="414">
        <f>SUM(E5:E6)</f>
        <v>108812160</v>
      </c>
      <c r="F4" s="414">
        <f>SUM(D4:E4)</f>
        <v>511820160</v>
      </c>
      <c r="G4" s="417">
        <f>SUM(G5:G6)</f>
        <v>33584000</v>
      </c>
      <c r="H4" s="349">
        <f>+J4*0.89</f>
        <v>26900784</v>
      </c>
      <c r="I4" s="349">
        <f>+J4-H4</f>
        <v>3324816</v>
      </c>
      <c r="J4" s="345">
        <f>SUM(J5:J6)</f>
        <v>30225600</v>
      </c>
      <c r="K4" s="345">
        <f t="shared" ref="K4:AQ4" si="0">SUM(K5:K6)</f>
        <v>32878736</v>
      </c>
      <c r="L4" s="345">
        <f t="shared" si="0"/>
        <v>4063664</v>
      </c>
      <c r="M4" s="345">
        <f t="shared" si="0"/>
        <v>36942400</v>
      </c>
      <c r="N4" s="345">
        <f t="shared" si="0"/>
        <v>32878736</v>
      </c>
      <c r="O4" s="345">
        <f t="shared" si="0"/>
        <v>4063664</v>
      </c>
      <c r="P4" s="345">
        <f t="shared" si="0"/>
        <v>36942400</v>
      </c>
      <c r="Q4" s="345">
        <f t="shared" si="0"/>
        <v>29889760</v>
      </c>
      <c r="R4" s="345">
        <f t="shared" si="0"/>
        <v>3694240</v>
      </c>
      <c r="S4" s="345">
        <f t="shared" si="0"/>
        <v>33584000</v>
      </c>
      <c r="T4" s="345">
        <f t="shared" si="0"/>
        <v>29889760</v>
      </c>
      <c r="U4" s="345">
        <f t="shared" si="0"/>
        <v>3694240</v>
      </c>
      <c r="V4" s="345">
        <f t="shared" si="0"/>
        <v>33584000</v>
      </c>
      <c r="W4" s="345">
        <f t="shared" si="0"/>
        <v>26900784</v>
      </c>
      <c r="X4" s="345">
        <f t="shared" si="0"/>
        <v>3324816</v>
      </c>
      <c r="Y4" s="345">
        <f t="shared" si="0"/>
        <v>30225600</v>
      </c>
      <c r="Z4" s="345">
        <f t="shared" si="0"/>
        <v>23911808</v>
      </c>
      <c r="AA4" s="345">
        <f t="shared" si="0"/>
        <v>2955392</v>
      </c>
      <c r="AB4" s="345">
        <f t="shared" si="0"/>
        <v>26867200</v>
      </c>
      <c r="AC4" s="345">
        <f t="shared" si="0"/>
        <v>20922832</v>
      </c>
      <c r="AD4" s="345">
        <f t="shared" si="0"/>
        <v>2585968</v>
      </c>
      <c r="AE4" s="345">
        <f t="shared" si="0"/>
        <v>23508800</v>
      </c>
      <c r="AF4" s="345">
        <f t="shared" si="0"/>
        <v>32878736</v>
      </c>
      <c r="AG4" s="345">
        <f t="shared" si="0"/>
        <v>4063664</v>
      </c>
      <c r="AH4" s="345">
        <f t="shared" si="0"/>
        <v>36942400</v>
      </c>
      <c r="AI4" s="345">
        <f t="shared" si="0"/>
        <v>32878736</v>
      </c>
      <c r="AJ4" s="345">
        <f t="shared" si="0"/>
        <v>4063664</v>
      </c>
      <c r="AK4" s="345">
        <f t="shared" si="0"/>
        <v>36942400</v>
      </c>
      <c r="AL4" s="345">
        <f t="shared" si="0"/>
        <v>35867712</v>
      </c>
      <c r="AM4" s="345">
        <f t="shared" si="0"/>
        <v>4433088</v>
      </c>
      <c r="AN4" s="345">
        <f t="shared" si="0"/>
        <v>40300800</v>
      </c>
      <c r="AO4" s="345">
        <f t="shared" si="0"/>
        <v>32878736</v>
      </c>
      <c r="AP4" s="345">
        <f t="shared" si="0"/>
        <v>4063664</v>
      </c>
      <c r="AQ4" s="345">
        <f t="shared" si="0"/>
        <v>36942400</v>
      </c>
      <c r="AR4" s="415">
        <f>+AQ4+AN4+AK4+AH4+AE4+AB4+Y4+V4+S4+P4+M4+J4</f>
        <v>403008000</v>
      </c>
      <c r="AS4" s="454">
        <f>SUM(AS5:AS6)</f>
        <v>108812160</v>
      </c>
      <c r="AT4" s="454">
        <f>SUM(AR4:AS4)</f>
        <v>511820160</v>
      </c>
    </row>
    <row r="5" spans="1:46" s="221" customFormat="1" ht="12.75">
      <c r="A5" s="347" t="s">
        <v>338</v>
      </c>
      <c r="B5" s="348">
        <f>+G5*0.89*12</f>
        <v>166864320</v>
      </c>
      <c r="C5" s="550">
        <f>+G5*0.11*12</f>
        <v>20623680</v>
      </c>
      <c r="D5" s="346">
        <f>SUM(B5:C5)</f>
        <v>187488000</v>
      </c>
      <c r="E5" s="346">
        <f>+D5*0.27</f>
        <v>50621760</v>
      </c>
      <c r="F5" s="414">
        <f t="shared" ref="F5:F11" si="1">SUM(D5:E5)</f>
        <v>238109760</v>
      </c>
      <c r="G5" s="418">
        <v>15624000</v>
      </c>
      <c r="H5" s="383">
        <f>+J5*0.89</f>
        <v>12514824</v>
      </c>
      <c r="I5" s="383">
        <f>+J5-H5</f>
        <v>1546776</v>
      </c>
      <c r="J5" s="384">
        <f>0.9*G5</f>
        <v>14061600</v>
      </c>
      <c r="K5" s="383">
        <f>+M5*0.89</f>
        <v>15295896</v>
      </c>
      <c r="L5" s="383">
        <f>+M5-K5</f>
        <v>1890504</v>
      </c>
      <c r="M5" s="384">
        <f>+G5*1.1</f>
        <v>17186400</v>
      </c>
      <c r="N5" s="383">
        <f>+P5*0.89</f>
        <v>15295896</v>
      </c>
      <c r="O5" s="383">
        <f>+P5-N5</f>
        <v>1890504</v>
      </c>
      <c r="P5" s="383">
        <f>+G5*1.1</f>
        <v>17186400</v>
      </c>
      <c r="Q5" s="383">
        <f>+S5*0.89</f>
        <v>13905360</v>
      </c>
      <c r="R5" s="383">
        <f>+S5-Q5</f>
        <v>1718640</v>
      </c>
      <c r="S5" s="383">
        <f>+G5</f>
        <v>15624000</v>
      </c>
      <c r="T5" s="383">
        <f>+V5*0.89</f>
        <v>13905360</v>
      </c>
      <c r="U5" s="383">
        <f>+V5-T5</f>
        <v>1718640</v>
      </c>
      <c r="V5" s="383">
        <f>+G5</f>
        <v>15624000</v>
      </c>
      <c r="W5" s="383">
        <f>+Y5*0.89</f>
        <v>12514824</v>
      </c>
      <c r="X5" s="383">
        <f>+Y5-W5</f>
        <v>1546776</v>
      </c>
      <c r="Y5" s="383">
        <f>+G5*0.9</f>
        <v>14061600</v>
      </c>
      <c r="Z5" s="383">
        <f>+AB5*0.89</f>
        <v>11124288</v>
      </c>
      <c r="AA5" s="383">
        <f>+AB5-Z5</f>
        <v>1374912</v>
      </c>
      <c r="AB5" s="383">
        <f>+G5*0.8</f>
        <v>12499200</v>
      </c>
      <c r="AC5" s="383">
        <f>+AE5*0.89</f>
        <v>9733752</v>
      </c>
      <c r="AD5" s="383">
        <f>+AE5-AC5</f>
        <v>1203048</v>
      </c>
      <c r="AE5" s="383">
        <f>+G5*0.7</f>
        <v>10936800</v>
      </c>
      <c r="AF5" s="383">
        <f>+AH5*0.89</f>
        <v>15295896</v>
      </c>
      <c r="AG5" s="383">
        <f>+AH5-AF5:AF6</f>
        <v>1890504</v>
      </c>
      <c r="AH5" s="383">
        <f>+G5*1.1</f>
        <v>17186400</v>
      </c>
      <c r="AI5" s="383">
        <f>+AK5*0.89</f>
        <v>15295896</v>
      </c>
      <c r="AJ5" s="383">
        <f>+AK5-AI5</f>
        <v>1890504</v>
      </c>
      <c r="AK5" s="383">
        <f>+G5*1.1</f>
        <v>17186400</v>
      </c>
      <c r="AL5" s="383">
        <f>+AN5*0.89</f>
        <v>16686432</v>
      </c>
      <c r="AM5" s="383">
        <f>+AN5-AL5</f>
        <v>2062368</v>
      </c>
      <c r="AN5" s="383">
        <f>+G5*1.2</f>
        <v>18748800</v>
      </c>
      <c r="AO5" s="383">
        <f>+AQ5*0.89</f>
        <v>15295896</v>
      </c>
      <c r="AP5" s="383">
        <f>+AQ5-AO5</f>
        <v>1890504</v>
      </c>
      <c r="AQ5" s="383">
        <f>+G5*1.1</f>
        <v>17186400</v>
      </c>
      <c r="AR5" s="415">
        <f t="shared" ref="AR5:AR11" si="2">+AQ5+AN5+AK5+AH5+AE5+AB5+Y5+V5+S5+P5+M5+J5</f>
        <v>187488000</v>
      </c>
      <c r="AS5" s="455">
        <f>+AR5*0.27</f>
        <v>50621760</v>
      </c>
      <c r="AT5" s="454">
        <f t="shared" ref="AT5:AT10" si="3">SUM(AR5:AS5)</f>
        <v>238109760</v>
      </c>
    </row>
    <row r="6" spans="1:46" s="221" customFormat="1" ht="12.75">
      <c r="A6" s="347" t="s">
        <v>339</v>
      </c>
      <c r="B6" s="348">
        <f>+G6*0.89*12</f>
        <v>191812800</v>
      </c>
      <c r="C6" s="550">
        <f>+G6*0.11*12</f>
        <v>23707200</v>
      </c>
      <c r="D6" s="346">
        <f>SUM(B6:C6)</f>
        <v>215520000</v>
      </c>
      <c r="E6" s="346">
        <f>+D6*0.27</f>
        <v>58190400.000000007</v>
      </c>
      <c r="F6" s="414">
        <f t="shared" si="1"/>
        <v>273710400</v>
      </c>
      <c r="G6" s="418">
        <v>17960000</v>
      </c>
      <c r="H6" s="383">
        <f>+J6*0.89</f>
        <v>14385960</v>
      </c>
      <c r="I6" s="383">
        <f>+J6-H6</f>
        <v>1778040</v>
      </c>
      <c r="J6" s="384">
        <f>G6*0.9</f>
        <v>16164000</v>
      </c>
      <c r="K6" s="383">
        <f>+M6*0.89</f>
        <v>17582840</v>
      </c>
      <c r="L6" s="383">
        <f>+M6-K6</f>
        <v>2173160</v>
      </c>
      <c r="M6" s="384">
        <f t="shared" ref="M6" si="4">+G6*1.1</f>
        <v>19756000</v>
      </c>
      <c r="N6" s="383">
        <f t="shared" ref="N6:N8" si="5">+P6*0.89</f>
        <v>17582840</v>
      </c>
      <c r="O6" s="383">
        <f>+P6-N6</f>
        <v>2173160</v>
      </c>
      <c r="P6" s="383">
        <f>+G6*1.1</f>
        <v>19756000</v>
      </c>
      <c r="Q6" s="383">
        <f>+S6*0.89</f>
        <v>15984400</v>
      </c>
      <c r="R6" s="383">
        <f>+S6-Q6</f>
        <v>1975600</v>
      </c>
      <c r="S6" s="383">
        <f t="shared" ref="S6:S8" si="6">+G6</f>
        <v>17960000</v>
      </c>
      <c r="T6" s="383">
        <f>+V6*0.89</f>
        <v>15984400</v>
      </c>
      <c r="U6" s="383">
        <f>+V6-T6</f>
        <v>1975600</v>
      </c>
      <c r="V6" s="383">
        <f t="shared" ref="V6:V8" si="7">+G6</f>
        <v>17960000</v>
      </c>
      <c r="W6" s="383">
        <f>+Y6*0.89</f>
        <v>14385960</v>
      </c>
      <c r="X6" s="383">
        <f t="shared" ref="X6:X8" si="8">+Y6-W6</f>
        <v>1778040</v>
      </c>
      <c r="Y6" s="383">
        <f>+G6*0.9</f>
        <v>16164000</v>
      </c>
      <c r="Z6" s="383">
        <f t="shared" ref="Z6:Z8" si="9">+AB6*0.89</f>
        <v>12787520</v>
      </c>
      <c r="AA6" s="383">
        <f t="shared" ref="AA6:AA8" si="10">+AB6-Z6</f>
        <v>1580480</v>
      </c>
      <c r="AB6" s="383">
        <f t="shared" ref="AB6" si="11">+G6*0.8</f>
        <v>14368000</v>
      </c>
      <c r="AC6" s="383">
        <f t="shared" ref="AC6:AC8" si="12">+AE6*0.89</f>
        <v>11189080</v>
      </c>
      <c r="AD6" s="383">
        <f t="shared" ref="AD6:AD8" si="13">+AE6-AC6</f>
        <v>1382920</v>
      </c>
      <c r="AE6" s="383">
        <f t="shared" ref="AE6" si="14">+G6*0.7</f>
        <v>12572000</v>
      </c>
      <c r="AF6" s="383">
        <f t="shared" ref="AF6:AF8" si="15">+AH6*0.89</f>
        <v>17582840</v>
      </c>
      <c r="AG6" s="383">
        <f t="shared" ref="AG6:AG8" si="16">+AH6-AF6:AF7</f>
        <v>2173160</v>
      </c>
      <c r="AH6" s="383">
        <f t="shared" ref="AH6" si="17">+G6*1.1</f>
        <v>19756000</v>
      </c>
      <c r="AI6" s="383">
        <f t="shared" ref="AI6:AI7" si="18">+AK6*0.89</f>
        <v>17582840</v>
      </c>
      <c r="AJ6" s="383">
        <f t="shared" ref="AJ6:AJ8" si="19">+AK6-AI6</f>
        <v>2173160</v>
      </c>
      <c r="AK6" s="383">
        <f t="shared" ref="AK6:AK7" si="20">+G6*1.1</f>
        <v>19756000</v>
      </c>
      <c r="AL6" s="383">
        <f t="shared" ref="AL6:AL8" si="21">+AN6*0.89</f>
        <v>19181280</v>
      </c>
      <c r="AM6" s="383">
        <f t="shared" ref="AM6:AM8" si="22">+AN6-AL6</f>
        <v>2370720</v>
      </c>
      <c r="AN6" s="383">
        <f>+G6*1.2</f>
        <v>21552000</v>
      </c>
      <c r="AO6" s="383">
        <f t="shared" ref="AO6:AO8" si="23">+AQ6*0.89</f>
        <v>17582840</v>
      </c>
      <c r="AP6" s="383">
        <f t="shared" ref="AP6:AP8" si="24">+AQ6-AO6</f>
        <v>2173160</v>
      </c>
      <c r="AQ6" s="383">
        <f>+G6*1.1</f>
        <v>19756000</v>
      </c>
      <c r="AR6" s="415">
        <f t="shared" si="2"/>
        <v>215520000</v>
      </c>
      <c r="AS6" s="455">
        <f>+AR6*0.27</f>
        <v>58190400.000000007</v>
      </c>
      <c r="AT6" s="454">
        <f t="shared" si="3"/>
        <v>273710400</v>
      </c>
    </row>
    <row r="7" spans="1:46" s="222" customFormat="1" ht="12.75">
      <c r="A7" s="350" t="s">
        <v>191</v>
      </c>
      <c r="B7" s="349">
        <f>+G7*0.89*12</f>
        <v>112140000</v>
      </c>
      <c r="C7" s="349">
        <f>+G7*0.11*12</f>
        <v>13860000</v>
      </c>
      <c r="D7" s="345">
        <f t="shared" ref="D7:D10" si="25">SUM(B7:C7)</f>
        <v>126000000</v>
      </c>
      <c r="E7" s="414">
        <f>+D7*0.014</f>
        <v>1764000</v>
      </c>
      <c r="F7" s="414">
        <f t="shared" si="1"/>
        <v>127764000</v>
      </c>
      <c r="G7" s="417">
        <v>10500000</v>
      </c>
      <c r="H7" s="383">
        <f>+J7*0.89</f>
        <v>11214000</v>
      </c>
      <c r="I7" s="383">
        <f>+J7-H7</f>
        <v>1386000</v>
      </c>
      <c r="J7" s="345">
        <f>+G7*1.2</f>
        <v>12600000</v>
      </c>
      <c r="K7" s="383">
        <f>+M7*0.89</f>
        <v>9345000</v>
      </c>
      <c r="L7" s="383">
        <f>+M7-K7</f>
        <v>1155000</v>
      </c>
      <c r="M7" s="384">
        <f>+G7*1</f>
        <v>10500000</v>
      </c>
      <c r="N7" s="383">
        <f t="shared" si="5"/>
        <v>10279500.000000002</v>
      </c>
      <c r="O7" s="383">
        <f t="shared" ref="O7:O8" si="26">+P7-N7</f>
        <v>1270500</v>
      </c>
      <c r="P7" s="349">
        <f>+G7*1.1</f>
        <v>11550000.000000002</v>
      </c>
      <c r="Q7" s="383">
        <f t="shared" ref="Q7:Q8" si="27">+S7*0.89</f>
        <v>9345000</v>
      </c>
      <c r="R7" s="383">
        <f>+G7</f>
        <v>10500000</v>
      </c>
      <c r="S7" s="383">
        <f t="shared" si="6"/>
        <v>10500000</v>
      </c>
      <c r="T7" s="349"/>
      <c r="U7" s="349">
        <f>+G7</f>
        <v>10500000</v>
      </c>
      <c r="V7" s="383">
        <f t="shared" si="7"/>
        <v>10500000</v>
      </c>
      <c r="W7" s="383">
        <f t="shared" ref="W7:W8" si="28">+Y7*0.89</f>
        <v>9345000</v>
      </c>
      <c r="X7" s="383">
        <f t="shared" si="8"/>
        <v>1155000</v>
      </c>
      <c r="Y7" s="349">
        <f>+G7</f>
        <v>10500000</v>
      </c>
      <c r="Z7" s="383">
        <f t="shared" si="9"/>
        <v>7476000</v>
      </c>
      <c r="AA7" s="383">
        <f t="shared" si="10"/>
        <v>924000</v>
      </c>
      <c r="AB7" s="383">
        <f>+G7*0.8</f>
        <v>8400000</v>
      </c>
      <c r="AC7" s="383">
        <f t="shared" si="12"/>
        <v>6541499.9999999991</v>
      </c>
      <c r="AD7" s="383">
        <f t="shared" si="13"/>
        <v>808500</v>
      </c>
      <c r="AE7" s="383">
        <f>+G7*0.7</f>
        <v>7349999.9999999991</v>
      </c>
      <c r="AF7" s="383">
        <f t="shared" si="15"/>
        <v>7476000</v>
      </c>
      <c r="AG7" s="383">
        <f t="shared" si="16"/>
        <v>924000</v>
      </c>
      <c r="AH7" s="383">
        <f>+G7*0.8</f>
        <v>8400000</v>
      </c>
      <c r="AI7" s="383">
        <f t="shared" si="18"/>
        <v>10279500.000000002</v>
      </c>
      <c r="AJ7" s="383">
        <f t="shared" si="19"/>
        <v>1270500</v>
      </c>
      <c r="AK7" s="383">
        <f t="shared" si="20"/>
        <v>11550000.000000002</v>
      </c>
      <c r="AL7" s="383">
        <f t="shared" si="21"/>
        <v>11214000</v>
      </c>
      <c r="AM7" s="383">
        <f t="shared" si="22"/>
        <v>1386000</v>
      </c>
      <c r="AN7" s="383">
        <f>+G7*1.2</f>
        <v>12600000</v>
      </c>
      <c r="AO7" s="383">
        <f t="shared" si="23"/>
        <v>10279500.000000002</v>
      </c>
      <c r="AP7" s="383">
        <f t="shared" si="24"/>
        <v>1270500</v>
      </c>
      <c r="AQ7" s="383">
        <f>+G7*1.1</f>
        <v>11550000.000000002</v>
      </c>
      <c r="AR7" s="415">
        <f t="shared" si="2"/>
        <v>126000000</v>
      </c>
      <c r="AS7" s="454">
        <f>+AR7*0.014</f>
        <v>1764000</v>
      </c>
      <c r="AT7" s="454">
        <f t="shared" si="3"/>
        <v>127764000</v>
      </c>
    </row>
    <row r="8" spans="1:46" s="222" customFormat="1" ht="12.75">
      <c r="A8" s="350" t="s">
        <v>192</v>
      </c>
      <c r="B8" s="349">
        <f>+G8*0.89*12</f>
        <v>88302240</v>
      </c>
      <c r="C8" s="349">
        <f>+G8*0.11*12</f>
        <v>10913760</v>
      </c>
      <c r="D8" s="345">
        <f t="shared" si="25"/>
        <v>99216000</v>
      </c>
      <c r="E8" s="414">
        <f>+D8*0.008</f>
        <v>793728</v>
      </c>
      <c r="F8" s="414">
        <f t="shared" si="1"/>
        <v>100009728</v>
      </c>
      <c r="G8" s="417">
        <v>8268000</v>
      </c>
      <c r="H8" s="383">
        <f>+J8*0.89</f>
        <v>7358520</v>
      </c>
      <c r="I8" s="383">
        <f>+J8-H8</f>
        <v>909480</v>
      </c>
      <c r="J8" s="345">
        <f>+G8</f>
        <v>8268000</v>
      </c>
      <c r="K8" s="383">
        <f>+M8*0.89</f>
        <v>7358520</v>
      </c>
      <c r="L8" s="383">
        <f>+M8-K8</f>
        <v>909480</v>
      </c>
      <c r="M8" s="384">
        <f>+G8</f>
        <v>8268000</v>
      </c>
      <c r="N8" s="383">
        <f t="shared" si="5"/>
        <v>7358520</v>
      </c>
      <c r="O8" s="383">
        <f t="shared" si="26"/>
        <v>909480</v>
      </c>
      <c r="P8" s="349">
        <f>+G8</f>
        <v>8268000</v>
      </c>
      <c r="Q8" s="383">
        <f t="shared" si="27"/>
        <v>7358520</v>
      </c>
      <c r="R8" s="383">
        <f>+G8</f>
        <v>8268000</v>
      </c>
      <c r="S8" s="383">
        <f t="shared" si="6"/>
        <v>8268000</v>
      </c>
      <c r="T8" s="349"/>
      <c r="U8" s="349">
        <f>+G8</f>
        <v>8268000</v>
      </c>
      <c r="V8" s="383">
        <f t="shared" si="7"/>
        <v>8268000</v>
      </c>
      <c r="W8" s="383">
        <f t="shared" si="28"/>
        <v>7358520</v>
      </c>
      <c r="X8" s="383">
        <f t="shared" si="8"/>
        <v>909480</v>
      </c>
      <c r="Y8" s="349">
        <f>+G8</f>
        <v>8268000</v>
      </c>
      <c r="Z8" s="383">
        <f t="shared" si="9"/>
        <v>7358520</v>
      </c>
      <c r="AA8" s="383">
        <f t="shared" si="10"/>
        <v>909480</v>
      </c>
      <c r="AB8" s="349">
        <f>+G8</f>
        <v>8268000</v>
      </c>
      <c r="AC8" s="383">
        <f t="shared" si="12"/>
        <v>7358520</v>
      </c>
      <c r="AD8" s="383">
        <f t="shared" si="13"/>
        <v>909480</v>
      </c>
      <c r="AE8" s="383">
        <f>+G8</f>
        <v>8268000</v>
      </c>
      <c r="AF8" s="383">
        <f t="shared" si="15"/>
        <v>7358520</v>
      </c>
      <c r="AG8" s="383">
        <f t="shared" si="16"/>
        <v>909480</v>
      </c>
      <c r="AH8" s="349">
        <f>+G8</f>
        <v>8268000</v>
      </c>
      <c r="AI8" s="383">
        <f>+AK8*0.89</f>
        <v>7358520</v>
      </c>
      <c r="AJ8" s="383">
        <f t="shared" si="19"/>
        <v>909480</v>
      </c>
      <c r="AK8" s="349">
        <f>+G8</f>
        <v>8268000</v>
      </c>
      <c r="AL8" s="383">
        <f t="shared" si="21"/>
        <v>7358520</v>
      </c>
      <c r="AM8" s="383">
        <f t="shared" si="22"/>
        <v>909480</v>
      </c>
      <c r="AN8" s="349">
        <f>+AK8</f>
        <v>8268000</v>
      </c>
      <c r="AO8" s="383">
        <f t="shared" si="23"/>
        <v>7358520</v>
      </c>
      <c r="AP8" s="383">
        <f t="shared" si="24"/>
        <v>909480</v>
      </c>
      <c r="AQ8" s="349">
        <f>+AN8</f>
        <v>8268000</v>
      </c>
      <c r="AR8" s="415">
        <f t="shared" si="2"/>
        <v>99216000</v>
      </c>
      <c r="AS8" s="454">
        <f>+AR8*0.008</f>
        <v>793728</v>
      </c>
      <c r="AT8" s="454">
        <f t="shared" si="3"/>
        <v>100009728</v>
      </c>
    </row>
    <row r="9" spans="1:46" s="222" customFormat="1" ht="12.75">
      <c r="A9" s="350" t="s">
        <v>193</v>
      </c>
      <c r="B9" s="349">
        <v>0</v>
      </c>
      <c r="C9" s="349">
        <v>0</v>
      </c>
      <c r="D9" s="345">
        <f t="shared" si="25"/>
        <v>0</v>
      </c>
      <c r="E9" s="414"/>
      <c r="F9" s="414">
        <f t="shared" si="1"/>
        <v>0</v>
      </c>
      <c r="G9" s="417">
        <v>0</v>
      </c>
      <c r="H9" s="349"/>
      <c r="I9" s="349"/>
      <c r="J9" s="345">
        <f>+G9</f>
        <v>0</v>
      </c>
      <c r="K9" s="349"/>
      <c r="L9" s="349"/>
      <c r="M9" s="345">
        <f t="shared" ref="M9" si="29">SUM(K9:L9)</f>
        <v>0</v>
      </c>
      <c r="N9" s="349"/>
      <c r="O9" s="349"/>
      <c r="P9" s="349"/>
      <c r="Q9" s="349"/>
      <c r="R9" s="349"/>
      <c r="S9" s="349"/>
      <c r="T9" s="349"/>
      <c r="U9" s="349"/>
      <c r="V9" s="349"/>
      <c r="W9" s="349"/>
      <c r="X9" s="349"/>
      <c r="Y9" s="349"/>
      <c r="Z9" s="349"/>
      <c r="AA9" s="349"/>
      <c r="AB9" s="349"/>
      <c r="AC9" s="349"/>
      <c r="AD9" s="349"/>
      <c r="AE9" s="349"/>
      <c r="AF9" s="349"/>
      <c r="AG9" s="349"/>
      <c r="AH9" s="349"/>
      <c r="AI9" s="349"/>
      <c r="AJ9" s="349"/>
      <c r="AK9" s="349"/>
      <c r="AL9" s="349"/>
      <c r="AM9" s="349"/>
      <c r="AN9" s="349"/>
      <c r="AO9" s="349"/>
      <c r="AP9" s="349"/>
      <c r="AQ9" s="349"/>
      <c r="AR9" s="415">
        <f t="shared" si="2"/>
        <v>0</v>
      </c>
      <c r="AS9" s="454"/>
      <c r="AT9" s="454">
        <f t="shared" si="3"/>
        <v>0</v>
      </c>
    </row>
    <row r="10" spans="1:46" s="222" customFormat="1" ht="12.75">
      <c r="A10" s="350" t="s">
        <v>206</v>
      </c>
      <c r="B10" s="349">
        <v>114796696</v>
      </c>
      <c r="C10" s="349">
        <v>0</v>
      </c>
      <c r="D10" s="345">
        <f t="shared" si="25"/>
        <v>114796696</v>
      </c>
      <c r="E10" s="414">
        <f>+D10*0.27</f>
        <v>30995107.920000002</v>
      </c>
      <c r="F10" s="414">
        <f t="shared" si="1"/>
        <v>145791803.92000002</v>
      </c>
      <c r="G10" s="417"/>
      <c r="H10" s="349"/>
      <c r="I10" s="349"/>
      <c r="J10" s="345">
        <f>+D10*0.1</f>
        <v>11479669.600000001</v>
      </c>
      <c r="K10" s="349"/>
      <c r="L10" s="349"/>
      <c r="M10" s="345">
        <f>+D10*0.1</f>
        <v>11479669.600000001</v>
      </c>
      <c r="N10" s="349"/>
      <c r="O10" s="349"/>
      <c r="P10" s="349">
        <f>+D10*0.05</f>
        <v>5739834.8000000007</v>
      </c>
      <c r="Q10" s="349"/>
      <c r="R10" s="349"/>
      <c r="S10" s="349">
        <f>+D10*0.05</f>
        <v>5739834.8000000007</v>
      </c>
      <c r="T10" s="349"/>
      <c r="U10" s="349"/>
      <c r="V10" s="349"/>
      <c r="W10" s="349"/>
      <c r="X10" s="349"/>
      <c r="Y10" s="349"/>
      <c r="Z10" s="349"/>
      <c r="AA10" s="349"/>
      <c r="AB10" s="349"/>
      <c r="AC10" s="349"/>
      <c r="AD10" s="349"/>
      <c r="AE10" s="349"/>
      <c r="AF10" s="349"/>
      <c r="AG10" s="349"/>
      <c r="AH10" s="349"/>
      <c r="AI10" s="349"/>
      <c r="AJ10" s="349"/>
      <c r="AK10" s="349">
        <f>+D10*0.4</f>
        <v>45918678.400000006</v>
      </c>
      <c r="AL10" s="349"/>
      <c r="AM10" s="349"/>
      <c r="AN10" s="349">
        <f>+D10*0.15</f>
        <v>17219504.399999999</v>
      </c>
      <c r="AO10" s="349"/>
      <c r="AP10" s="349"/>
      <c r="AQ10" s="349">
        <f>+D10*0.15</f>
        <v>17219504.399999999</v>
      </c>
      <c r="AR10" s="415">
        <f t="shared" si="2"/>
        <v>114796696</v>
      </c>
      <c r="AS10" s="454">
        <f>+AR10*0.27</f>
        <v>30995107.920000002</v>
      </c>
      <c r="AT10" s="454">
        <f t="shared" si="3"/>
        <v>145791803.92000002</v>
      </c>
    </row>
    <row r="11" spans="1:46" s="221" customFormat="1" ht="12.75">
      <c r="A11" s="352" t="s">
        <v>197</v>
      </c>
      <c r="B11" s="539">
        <f t="shared" ref="B11:AQ11" si="30">SUM(B5:B10)</f>
        <v>673916056</v>
      </c>
      <c r="C11" s="539">
        <f t="shared" si="30"/>
        <v>69104640</v>
      </c>
      <c r="D11" s="539">
        <f t="shared" si="30"/>
        <v>743020696</v>
      </c>
      <c r="E11" s="539">
        <f>SUM(E5:E10)</f>
        <v>142364995.92000002</v>
      </c>
      <c r="F11" s="540">
        <f t="shared" si="1"/>
        <v>885385691.92000008</v>
      </c>
      <c r="G11" s="353">
        <f t="shared" si="30"/>
        <v>52352000</v>
      </c>
      <c r="H11" s="353">
        <f t="shared" si="30"/>
        <v>45473304</v>
      </c>
      <c r="I11" s="353">
        <f t="shared" si="30"/>
        <v>5620296</v>
      </c>
      <c r="J11" s="353">
        <f t="shared" si="30"/>
        <v>62573269.600000001</v>
      </c>
      <c r="K11" s="353">
        <f t="shared" si="30"/>
        <v>49582256</v>
      </c>
      <c r="L11" s="353">
        <f t="shared" si="30"/>
        <v>6128144</v>
      </c>
      <c r="M11" s="353">
        <f t="shared" si="30"/>
        <v>67190069.599999994</v>
      </c>
      <c r="N11" s="353">
        <f t="shared" si="30"/>
        <v>50516756</v>
      </c>
      <c r="O11" s="353">
        <f t="shared" si="30"/>
        <v>6243644</v>
      </c>
      <c r="P11" s="353">
        <f t="shared" si="30"/>
        <v>62500234.799999997</v>
      </c>
      <c r="Q11" s="353">
        <f t="shared" si="30"/>
        <v>46593280</v>
      </c>
      <c r="R11" s="353">
        <f t="shared" si="30"/>
        <v>22462240</v>
      </c>
      <c r="S11" s="353">
        <f>SUM(S5:S10)</f>
        <v>58091834.799999997</v>
      </c>
      <c r="T11" s="353">
        <f t="shared" si="30"/>
        <v>29889760</v>
      </c>
      <c r="U11" s="353">
        <f t="shared" si="30"/>
        <v>22462240</v>
      </c>
      <c r="V11" s="353">
        <f t="shared" si="30"/>
        <v>52352000</v>
      </c>
      <c r="W11" s="353">
        <f t="shared" si="30"/>
        <v>43604304</v>
      </c>
      <c r="X11" s="353">
        <f t="shared" si="30"/>
        <v>5389296</v>
      </c>
      <c r="Y11" s="353">
        <f t="shared" si="30"/>
        <v>48993600</v>
      </c>
      <c r="Z11" s="353">
        <f t="shared" si="30"/>
        <v>38746328</v>
      </c>
      <c r="AA11" s="353">
        <f t="shared" si="30"/>
        <v>4788872</v>
      </c>
      <c r="AB11" s="353">
        <f t="shared" si="30"/>
        <v>43535200</v>
      </c>
      <c r="AC11" s="353">
        <f t="shared" si="30"/>
        <v>34822852</v>
      </c>
      <c r="AD11" s="353">
        <f t="shared" si="30"/>
        <v>4303948</v>
      </c>
      <c r="AE11" s="353">
        <f t="shared" si="30"/>
        <v>39126800</v>
      </c>
      <c r="AF11" s="353">
        <f t="shared" si="30"/>
        <v>47713256</v>
      </c>
      <c r="AG11" s="353">
        <f t="shared" si="30"/>
        <v>5897144</v>
      </c>
      <c r="AH11" s="353">
        <f t="shared" si="30"/>
        <v>53610400</v>
      </c>
      <c r="AI11" s="353">
        <f t="shared" si="30"/>
        <v>50516756</v>
      </c>
      <c r="AJ11" s="353">
        <f t="shared" si="30"/>
        <v>6243644</v>
      </c>
      <c r="AK11" s="353">
        <f t="shared" si="30"/>
        <v>102679078.40000001</v>
      </c>
      <c r="AL11" s="353">
        <f t="shared" si="30"/>
        <v>54440232</v>
      </c>
      <c r="AM11" s="353">
        <f t="shared" si="30"/>
        <v>6728568</v>
      </c>
      <c r="AN11" s="353">
        <f t="shared" si="30"/>
        <v>78388304.400000006</v>
      </c>
      <c r="AO11" s="353">
        <f t="shared" si="30"/>
        <v>50516756</v>
      </c>
      <c r="AP11" s="353">
        <f t="shared" si="30"/>
        <v>6243644</v>
      </c>
      <c r="AQ11" s="353">
        <f t="shared" si="30"/>
        <v>73979904.400000006</v>
      </c>
      <c r="AR11" s="416">
        <f t="shared" si="2"/>
        <v>743020696</v>
      </c>
      <c r="AS11" s="456">
        <f>SUM(AS5:AS10)</f>
        <v>142364995.92000002</v>
      </c>
      <c r="AT11" s="456">
        <f>SUM(AT5:AT10)</f>
        <v>885385691.92000008</v>
      </c>
    </row>
    <row r="12" spans="1:46" s="221" customFormat="1" ht="12.75">
      <c r="A12" s="223"/>
      <c r="B12" s="236"/>
      <c r="C12" s="236"/>
      <c r="D12" s="236"/>
      <c r="E12" s="236"/>
      <c r="F12" s="236"/>
      <c r="G12" s="236"/>
      <c r="H12" s="236"/>
      <c r="I12" s="236"/>
      <c r="J12" s="236"/>
      <c r="K12" s="236"/>
      <c r="L12" s="236"/>
      <c r="M12" s="236"/>
      <c r="N12" s="236"/>
      <c r="O12" s="236"/>
      <c r="P12" s="236"/>
      <c r="Q12" s="236"/>
      <c r="R12" s="236"/>
      <c r="S12" s="236"/>
      <c r="T12" s="236"/>
      <c r="U12" s="236"/>
      <c r="V12" s="236"/>
      <c r="W12" s="236"/>
      <c r="X12" s="236"/>
      <c r="Y12" s="236"/>
      <c r="Z12" s="236"/>
      <c r="AA12" s="236"/>
      <c r="AB12" s="236"/>
      <c r="AC12" s="236"/>
      <c r="AD12" s="236"/>
      <c r="AE12" s="236"/>
      <c r="AF12" s="236"/>
      <c r="AG12" s="236"/>
      <c r="AH12" s="236"/>
      <c r="AI12" s="236"/>
      <c r="AJ12" s="236"/>
      <c r="AK12" s="236"/>
      <c r="AL12" s="236"/>
      <c r="AM12" s="236"/>
      <c r="AN12" s="236"/>
      <c r="AO12" s="236"/>
      <c r="AP12" s="236"/>
      <c r="AQ12" s="236"/>
      <c r="AR12" s="355"/>
      <c r="AS12" s="441"/>
      <c r="AT12" s="441"/>
    </row>
    <row r="13" spans="1:46" s="221" customFormat="1" ht="12.75">
      <c r="A13" s="223"/>
      <c r="B13" s="236"/>
      <c r="C13" s="236"/>
      <c r="D13" s="236"/>
      <c r="E13" s="236"/>
      <c r="F13" s="236"/>
      <c r="G13" s="236"/>
      <c r="H13" s="236"/>
      <c r="I13" s="236"/>
      <c r="J13" s="236"/>
      <c r="K13" s="236"/>
      <c r="L13" s="236"/>
      <c r="M13" s="236"/>
      <c r="N13" s="236"/>
      <c r="O13" s="236"/>
      <c r="P13" s="236"/>
      <c r="Q13" s="236"/>
      <c r="R13" s="236"/>
      <c r="S13" s="236"/>
      <c r="T13" s="236"/>
      <c r="U13" s="236"/>
      <c r="V13" s="236"/>
      <c r="W13" s="236"/>
      <c r="X13" s="236"/>
      <c r="Y13" s="236"/>
      <c r="Z13" s="236"/>
      <c r="AA13" s="236"/>
      <c r="AB13" s="236"/>
      <c r="AC13" s="236"/>
      <c r="AD13" s="236"/>
      <c r="AE13" s="236"/>
      <c r="AF13" s="236"/>
      <c r="AG13" s="236"/>
      <c r="AH13" s="236"/>
      <c r="AI13" s="236"/>
      <c r="AJ13" s="236"/>
      <c r="AK13" s="236"/>
      <c r="AL13" s="236"/>
      <c r="AM13" s="236"/>
      <c r="AN13" s="236"/>
      <c r="AO13" s="236"/>
      <c r="AP13" s="236"/>
      <c r="AQ13" s="236"/>
      <c r="AR13" s="355"/>
      <c r="AS13" s="441"/>
      <c r="AT13" s="441"/>
    </row>
    <row r="14" spans="1:46" s="221" customFormat="1" ht="12.75">
      <c r="A14" s="223"/>
      <c r="B14" s="236"/>
      <c r="C14" s="236"/>
      <c r="D14" s="236"/>
      <c r="E14" s="236"/>
      <c r="F14" s="236"/>
      <c r="G14" s="236"/>
      <c r="H14" s="236"/>
      <c r="I14" s="236"/>
      <c r="J14" s="236"/>
      <c r="K14" s="236"/>
      <c r="L14" s="236"/>
      <c r="M14" s="236"/>
      <c r="N14" s="236"/>
      <c r="O14" s="236"/>
      <c r="P14" s="236"/>
      <c r="Q14" s="236"/>
      <c r="R14" s="236"/>
      <c r="S14" s="236"/>
      <c r="T14" s="236"/>
      <c r="U14" s="236"/>
      <c r="V14" s="236"/>
      <c r="W14" s="236"/>
      <c r="X14" s="236"/>
      <c r="Y14" s="236"/>
      <c r="Z14" s="236"/>
      <c r="AA14" s="236"/>
      <c r="AB14" s="236"/>
      <c r="AC14" s="236"/>
      <c r="AD14" s="236"/>
      <c r="AE14" s="236"/>
      <c r="AF14" s="236"/>
      <c r="AG14" s="236"/>
      <c r="AH14" s="236"/>
      <c r="AI14" s="236"/>
      <c r="AJ14" s="236"/>
      <c r="AK14" s="236"/>
      <c r="AL14" s="236"/>
      <c r="AM14" s="236"/>
      <c r="AN14" s="236"/>
      <c r="AO14" s="236"/>
      <c r="AP14" s="236"/>
      <c r="AQ14" s="236"/>
      <c r="AR14" s="355"/>
      <c r="AS14" s="441"/>
      <c r="AT14" s="441"/>
    </row>
    <row r="15" spans="1:46" s="221" customFormat="1" ht="12.75">
      <c r="A15" s="223"/>
      <c r="B15" s="236"/>
      <c r="C15" s="236"/>
      <c r="D15" s="236"/>
      <c r="E15" s="236"/>
      <c r="F15" s="236"/>
      <c r="G15" s="236"/>
      <c r="H15" s="236"/>
      <c r="I15" s="236"/>
      <c r="J15" s="236"/>
      <c r="K15" s="236"/>
      <c r="L15" s="236"/>
      <c r="M15" s="236"/>
      <c r="N15" s="236"/>
      <c r="O15" s="236"/>
      <c r="P15" s="236"/>
      <c r="Q15" s="236"/>
      <c r="R15" s="236"/>
      <c r="S15" s="236"/>
      <c r="T15" s="236"/>
      <c r="U15" s="236"/>
      <c r="V15" s="236"/>
      <c r="W15" s="236"/>
      <c r="X15" s="236"/>
      <c r="Y15" s="236"/>
      <c r="Z15" s="236"/>
      <c r="AA15" s="236"/>
      <c r="AB15" s="236"/>
      <c r="AC15" s="236"/>
      <c r="AD15" s="236"/>
      <c r="AE15" s="236"/>
      <c r="AF15" s="236"/>
      <c r="AG15" s="236"/>
      <c r="AH15" s="236"/>
      <c r="AI15" s="236"/>
      <c r="AJ15" s="236"/>
      <c r="AK15" s="236"/>
      <c r="AL15" s="236"/>
      <c r="AM15" s="236"/>
      <c r="AN15" s="236"/>
      <c r="AO15" s="236"/>
      <c r="AP15" s="236"/>
      <c r="AQ15" s="236"/>
      <c r="AR15" s="355"/>
      <c r="AS15" s="441"/>
      <c r="AT15" s="441"/>
    </row>
    <row r="16" spans="1:46" s="221" customFormat="1" ht="12.75">
      <c r="A16" s="565" t="s">
        <v>341</v>
      </c>
      <c r="B16" s="565"/>
      <c r="C16" s="565"/>
      <c r="D16" s="565"/>
      <c r="E16" s="565"/>
      <c r="F16" s="565"/>
      <c r="G16" s="565"/>
      <c r="H16" s="236"/>
      <c r="I16" s="236"/>
      <c r="J16" s="236"/>
      <c r="K16" s="236"/>
      <c r="L16" s="236"/>
      <c r="M16" s="236"/>
      <c r="N16" s="236"/>
      <c r="O16" s="236"/>
      <c r="P16" s="236"/>
      <c r="Q16" s="236"/>
      <c r="R16" s="236"/>
      <c r="S16" s="236"/>
      <c r="T16" s="236"/>
      <c r="U16" s="236"/>
      <c r="V16" s="236"/>
      <c r="W16" s="236"/>
      <c r="X16" s="236"/>
      <c r="Y16" s="236"/>
      <c r="Z16" s="236"/>
      <c r="AA16" s="236"/>
      <c r="AB16" s="236"/>
      <c r="AC16" s="236"/>
      <c r="AD16" s="236"/>
      <c r="AE16" s="236"/>
      <c r="AF16" s="236"/>
      <c r="AG16" s="236"/>
      <c r="AH16" s="236"/>
      <c r="AI16" s="236"/>
      <c r="AJ16" s="236"/>
      <c r="AK16" s="236"/>
      <c r="AL16" s="236"/>
      <c r="AM16" s="236"/>
      <c r="AN16" s="236"/>
      <c r="AO16" s="236"/>
      <c r="AP16" s="236"/>
      <c r="AQ16" s="236"/>
      <c r="AR16" s="355"/>
      <c r="AS16" s="441"/>
      <c r="AT16" s="441"/>
    </row>
    <row r="17" spans="1:48" s="221" customFormat="1" ht="12.75">
      <c r="A17" s="223"/>
      <c r="B17" s="342"/>
      <c r="C17" s="342"/>
      <c r="D17" s="342"/>
      <c r="E17" s="342"/>
      <c r="F17" s="342"/>
      <c r="G17" s="342"/>
      <c r="H17" s="342"/>
      <c r="I17" s="342"/>
      <c r="J17" s="342"/>
      <c r="K17" s="342"/>
      <c r="L17" s="342"/>
      <c r="M17" s="342"/>
      <c r="N17" s="342"/>
      <c r="O17" s="342"/>
      <c r="P17" s="342"/>
      <c r="Q17" s="342"/>
      <c r="R17" s="342"/>
      <c r="S17" s="342"/>
      <c r="T17" s="342"/>
      <c r="U17" s="342"/>
      <c r="V17" s="342"/>
      <c r="W17" s="342"/>
      <c r="X17" s="342"/>
      <c r="Y17" s="342"/>
      <c r="Z17" s="342"/>
      <c r="AA17" s="342"/>
      <c r="AB17" s="342"/>
      <c r="AC17" s="342"/>
      <c r="AD17" s="342"/>
      <c r="AE17" s="342"/>
      <c r="AF17" s="342"/>
      <c r="AG17" s="342"/>
      <c r="AH17" s="342"/>
      <c r="AI17" s="342"/>
      <c r="AJ17" s="342"/>
      <c r="AK17" s="342"/>
      <c r="AL17" s="342"/>
      <c r="AM17" s="342"/>
      <c r="AN17" s="342"/>
      <c r="AO17" s="342"/>
      <c r="AP17" s="342"/>
      <c r="AQ17" s="342"/>
      <c r="AR17" s="410"/>
      <c r="AS17" s="442"/>
      <c r="AT17" s="442"/>
      <c r="AU17" s="343"/>
      <c r="AV17" s="343"/>
    </row>
    <row r="18" spans="1:48" s="222" customFormat="1" ht="12.75">
      <c r="A18" s="223"/>
      <c r="B18" s="559" t="s">
        <v>340</v>
      </c>
      <c r="C18" s="560"/>
      <c r="D18" s="561"/>
      <c r="E18" s="408"/>
      <c r="F18" s="408"/>
      <c r="G18" s="345"/>
      <c r="H18" s="557"/>
      <c r="I18" s="557"/>
      <c r="J18" s="557"/>
      <c r="K18" s="557"/>
      <c r="L18" s="557"/>
      <c r="M18" s="557"/>
      <c r="N18" s="557"/>
      <c r="O18" s="557"/>
      <c r="P18" s="557"/>
      <c r="Q18" s="557"/>
      <c r="R18" s="557"/>
      <c r="S18" s="557"/>
      <c r="T18" s="557"/>
      <c r="U18" s="557"/>
      <c r="V18" s="557"/>
      <c r="W18" s="557"/>
      <c r="X18" s="557"/>
      <c r="Y18" s="557"/>
      <c r="Z18" s="557"/>
      <c r="AA18" s="557"/>
      <c r="AB18" s="557"/>
      <c r="AC18" s="557"/>
      <c r="AD18" s="557"/>
      <c r="AE18" s="557"/>
      <c r="AF18" s="557"/>
      <c r="AG18" s="557"/>
      <c r="AH18" s="557"/>
      <c r="AI18" s="557"/>
      <c r="AJ18" s="557"/>
      <c r="AK18" s="557"/>
      <c r="AL18" s="557"/>
      <c r="AM18" s="557"/>
      <c r="AN18" s="557"/>
      <c r="AO18" s="557"/>
      <c r="AP18" s="557"/>
      <c r="AQ18" s="557"/>
      <c r="AR18" s="411"/>
      <c r="AS18" s="443"/>
      <c r="AT18" s="443"/>
      <c r="AU18" s="344"/>
      <c r="AV18" s="344"/>
    </row>
    <row r="19" spans="1:48" s="221" customFormat="1" ht="12.75">
      <c r="A19" s="224"/>
      <c r="B19" s="351" t="s">
        <v>194</v>
      </c>
      <c r="C19" s="351" t="s">
        <v>195</v>
      </c>
      <c r="D19" s="351" t="s">
        <v>196</v>
      </c>
      <c r="E19" s="351"/>
      <c r="F19" s="351"/>
      <c r="G19" s="351"/>
      <c r="H19" s="342"/>
      <c r="I19" s="342"/>
      <c r="J19" s="342"/>
      <c r="K19" s="342"/>
      <c r="L19" s="342"/>
      <c r="M19" s="342"/>
      <c r="N19" s="342"/>
      <c r="O19" s="342"/>
      <c r="P19" s="342"/>
      <c r="Q19" s="342"/>
      <c r="R19" s="342"/>
      <c r="S19" s="342"/>
      <c r="T19" s="342"/>
      <c r="U19" s="342"/>
      <c r="V19" s="342"/>
      <c r="W19" s="342"/>
      <c r="X19" s="342"/>
      <c r="Y19" s="342"/>
      <c r="Z19" s="342"/>
      <c r="AA19" s="342"/>
      <c r="AB19" s="342"/>
      <c r="AC19" s="342"/>
      <c r="AD19" s="342"/>
      <c r="AE19" s="342"/>
      <c r="AF19" s="342"/>
      <c r="AG19" s="342"/>
      <c r="AH19" s="342"/>
      <c r="AI19" s="342"/>
      <c r="AJ19" s="342"/>
      <c r="AK19" s="342"/>
      <c r="AL19" s="342"/>
      <c r="AM19" s="342"/>
      <c r="AN19" s="342"/>
      <c r="AO19" s="342"/>
      <c r="AP19" s="342"/>
      <c r="AQ19" s="342"/>
      <c r="AR19" s="410"/>
      <c r="AS19" s="442"/>
      <c r="AT19" s="442"/>
      <c r="AU19" s="343"/>
      <c r="AV19" s="343"/>
    </row>
    <row r="20" spans="1:48">
      <c r="A20" s="350" t="s">
        <v>312</v>
      </c>
      <c r="B20" s="349">
        <f>+'eredeti bevétel prognózis '!F12</f>
        <v>320278582.9427709</v>
      </c>
      <c r="C20" s="349">
        <f>+'eredeti bevétel prognózis '!F13</f>
        <v>32686580.7277731</v>
      </c>
      <c r="D20" s="345">
        <f>SUM(B20:C20)</f>
        <v>352965163.67054403</v>
      </c>
      <c r="E20" s="414"/>
      <c r="F20" s="414"/>
      <c r="G20" s="345"/>
    </row>
    <row r="21" spans="1:48">
      <c r="A21" s="350" t="s">
        <v>191</v>
      </c>
      <c r="B21" s="349">
        <f>+'eredeti bevétel prognózis '!D32+'eredeti bevétel prognózis '!D33</f>
        <v>132306740.5704</v>
      </c>
      <c r="C21" s="349">
        <v>0</v>
      </c>
      <c r="D21" s="345">
        <f t="shared" ref="D21:D24" si="31">SUM(B21:C21)</f>
        <v>132306740.5704</v>
      </c>
      <c r="E21" s="414"/>
      <c r="F21" s="414"/>
      <c r="G21" s="345"/>
    </row>
    <row r="22" spans="1:48">
      <c r="A22" s="350" t="s">
        <v>192</v>
      </c>
      <c r="B22" s="349">
        <f>+'eredeti bevétel prognózis '!D34</f>
        <v>99213548.544</v>
      </c>
      <c r="C22" s="349">
        <v>0</v>
      </c>
      <c r="D22" s="345">
        <f t="shared" si="31"/>
        <v>99213548.544</v>
      </c>
      <c r="E22" s="414"/>
      <c r="F22" s="414"/>
      <c r="G22" s="345"/>
    </row>
    <row r="23" spans="1:48">
      <c r="A23" s="350" t="s">
        <v>193</v>
      </c>
      <c r="B23" s="349">
        <f>+'eredeti bevétel prognózis '!F26</f>
        <v>71875000</v>
      </c>
      <c r="C23" s="349">
        <f>+'eredeti bevétel prognózis '!F27</f>
        <v>14375000</v>
      </c>
      <c r="D23" s="345">
        <f t="shared" si="31"/>
        <v>86250000</v>
      </c>
      <c r="E23" s="414"/>
      <c r="F23" s="414"/>
      <c r="G23" s="345"/>
    </row>
    <row r="24" spans="1:48">
      <c r="A24" s="350" t="s">
        <v>206</v>
      </c>
      <c r="B24" s="349">
        <f>+'eredeti bevétel prognózis '!D21</f>
        <v>60000000</v>
      </c>
      <c r="C24" s="349">
        <v>0</v>
      </c>
      <c r="D24" s="345">
        <f t="shared" si="31"/>
        <v>60000000</v>
      </c>
      <c r="E24" s="414"/>
      <c r="F24" s="414"/>
      <c r="G24" s="345"/>
    </row>
    <row r="25" spans="1:48">
      <c r="A25" s="352" t="s">
        <v>197</v>
      </c>
      <c r="B25" s="353">
        <f>SUM(B20:B24)</f>
        <v>683673872.05717087</v>
      </c>
      <c r="C25" s="353">
        <f>SUM(C20:C24)</f>
        <v>47061580.7277731</v>
      </c>
      <c r="D25" s="351">
        <f>SUM(D20:D24)</f>
        <v>730735452.78494406</v>
      </c>
      <c r="E25" s="351"/>
      <c r="F25" s="351"/>
      <c r="G25" s="353"/>
    </row>
  </sheetData>
  <mergeCells count="28">
    <mergeCell ref="AR2:AT2"/>
    <mergeCell ref="A16:G16"/>
    <mergeCell ref="AO2:AQ2"/>
    <mergeCell ref="AO18:AQ18"/>
    <mergeCell ref="AF2:AH2"/>
    <mergeCell ref="AF18:AH18"/>
    <mergeCell ref="AI2:AK2"/>
    <mergeCell ref="AI18:AK18"/>
    <mergeCell ref="AL2:AN2"/>
    <mergeCell ref="AL18:AN18"/>
    <mergeCell ref="W2:Y2"/>
    <mergeCell ref="W18:Y18"/>
    <mergeCell ref="Z2:AB2"/>
    <mergeCell ref="Z18:AB18"/>
    <mergeCell ref="AC2:AE2"/>
    <mergeCell ref="AC18:AE18"/>
    <mergeCell ref="T18:V18"/>
    <mergeCell ref="T2:V2"/>
    <mergeCell ref="B2:D2"/>
    <mergeCell ref="H2:J2"/>
    <mergeCell ref="K2:M2"/>
    <mergeCell ref="N2:P2"/>
    <mergeCell ref="Q2:S2"/>
    <mergeCell ref="B18:D18"/>
    <mergeCell ref="H18:J18"/>
    <mergeCell ref="K18:M18"/>
    <mergeCell ref="N18:P18"/>
    <mergeCell ref="Q18:S18"/>
  </mergeCells>
  <pageMargins left="0" right="0" top="0" bottom="0" header="0.31496062992125984" footer="0.31496062992125984"/>
  <pageSetup paperSize="256" scale="80" orientation="landscape" r:id="rId1"/>
  <ignoredErrors>
    <ignoredError sqref="G4" formulaRange="1"/>
    <ignoredError sqref="E5:E6 F4 F11 AR4 AR11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21"/>
  <sheetViews>
    <sheetView tabSelected="1" zoomScaleNormal="100" workbookViewId="0">
      <pane xSplit="5" topLeftCell="F1" activePane="topRight" state="frozen"/>
      <selection pane="topRight" activeCell="F6" sqref="F6"/>
    </sheetView>
  </sheetViews>
  <sheetFormatPr defaultRowHeight="15"/>
  <cols>
    <col min="1" max="1" width="16.140625" style="385" customWidth="1"/>
    <col min="2" max="2" width="34.28515625" style="381" customWidth="1"/>
    <col min="3" max="3" width="16.28515625" style="356" bestFit="1" customWidth="1"/>
    <col min="4" max="4" width="15.28515625" style="356" bestFit="1" customWidth="1"/>
    <col min="5" max="7" width="16.28515625" style="356" customWidth="1"/>
    <col min="8" max="8" width="14.5703125" style="284" hidden="1" customWidth="1"/>
    <col min="9" max="9" width="14.85546875" style="284" hidden="1" customWidth="1"/>
    <col min="10" max="10" width="14.140625" style="284" hidden="1" customWidth="1"/>
    <col min="11" max="11" width="14.85546875" style="225" hidden="1" customWidth="1"/>
    <col min="12" max="20" width="15.7109375" style="225" hidden="1" customWidth="1"/>
    <col min="21" max="21" width="15.7109375" style="278" customWidth="1"/>
    <col min="22" max="22" width="19.42578125" bestFit="1" customWidth="1"/>
    <col min="23" max="23" width="24.5703125" style="278" customWidth="1"/>
    <col min="24" max="24" width="20.5703125" style="278" bestFit="1" customWidth="1"/>
    <col min="25" max="25" width="14.7109375" style="278" bestFit="1" customWidth="1"/>
    <col min="26" max="16384" width="9.140625" style="278"/>
  </cols>
  <sheetData>
    <row r="2" spans="1:24">
      <c r="A2" s="501">
        <v>2016</v>
      </c>
      <c r="B2" s="502"/>
      <c r="C2" s="502"/>
      <c r="D2" s="502"/>
      <c r="E2" s="502"/>
      <c r="F2" s="502"/>
      <c r="G2" s="502"/>
      <c r="H2" s="503"/>
      <c r="I2" s="503"/>
      <c r="J2" s="503"/>
      <c r="K2" s="503"/>
      <c r="L2" s="439" t="s">
        <v>10</v>
      </c>
      <c r="M2" s="439" t="s">
        <v>11</v>
      </c>
      <c r="N2" s="439" t="s">
        <v>12</v>
      </c>
      <c r="O2" s="439" t="s">
        <v>13</v>
      </c>
      <c r="P2" s="439" t="s">
        <v>14</v>
      </c>
      <c r="Q2" s="439" t="s">
        <v>15</v>
      </c>
      <c r="R2" s="439" t="s">
        <v>16</v>
      </c>
      <c r="S2" s="439" t="s">
        <v>17</v>
      </c>
      <c r="T2" s="437">
        <v>2016</v>
      </c>
    </row>
    <row r="3" spans="1:24" s="222" customFormat="1" ht="12.75">
      <c r="A3" s="496" t="s">
        <v>353</v>
      </c>
      <c r="B3" s="489"/>
      <c r="C3" s="488" t="s">
        <v>384</v>
      </c>
      <c r="D3" s="488" t="s">
        <v>385</v>
      </c>
      <c r="E3" s="512" t="s">
        <v>367</v>
      </c>
      <c r="F3" s="488" t="s">
        <v>386</v>
      </c>
      <c r="G3" s="488" t="s">
        <v>387</v>
      </c>
      <c r="H3" s="515" t="s">
        <v>388</v>
      </c>
      <c r="I3" s="488" t="s">
        <v>389</v>
      </c>
      <c r="J3" s="488" t="s">
        <v>387</v>
      </c>
      <c r="K3" s="515" t="s">
        <v>372</v>
      </c>
      <c r="L3" s="351" t="s">
        <v>196</v>
      </c>
      <c r="M3" s="351" t="s">
        <v>196</v>
      </c>
      <c r="N3" s="351" t="s">
        <v>196</v>
      </c>
      <c r="O3" s="351" t="s">
        <v>196</v>
      </c>
      <c r="P3" s="351" t="s">
        <v>196</v>
      </c>
      <c r="Q3" s="351" t="s">
        <v>196</v>
      </c>
      <c r="R3" s="351" t="s">
        <v>196</v>
      </c>
      <c r="S3" s="351" t="s">
        <v>196</v>
      </c>
      <c r="T3" s="353" t="s">
        <v>332</v>
      </c>
      <c r="U3" s="520" t="s">
        <v>388</v>
      </c>
      <c r="V3" s="528" t="s">
        <v>396</v>
      </c>
      <c r="W3" s="528" t="s">
        <v>397</v>
      </c>
      <c r="X3" s="534" t="s">
        <v>399</v>
      </c>
    </row>
    <row r="4" spans="1:24" s="222" customFormat="1" ht="12.75">
      <c r="A4" s="495"/>
      <c r="B4" s="493" t="s">
        <v>373</v>
      </c>
      <c r="C4" s="494">
        <f>SUM('bevételterv 2016'!B4)</f>
        <v>358677120</v>
      </c>
      <c r="D4" s="494">
        <f>SUM('bevételterv 2016'!C4)</f>
        <v>44330880</v>
      </c>
      <c r="E4" s="514">
        <f>SUM(C4:D4)</f>
        <v>403008000</v>
      </c>
      <c r="F4" s="494">
        <f>C4*0.27</f>
        <v>96842822.400000006</v>
      </c>
      <c r="G4" s="530">
        <f>D4*0.27</f>
        <v>11969337.600000001</v>
      </c>
      <c r="H4" s="514">
        <v>103291200</v>
      </c>
      <c r="I4" s="494">
        <v>432407568</v>
      </c>
      <c r="J4" s="494">
        <v>53443632</v>
      </c>
      <c r="K4" s="514">
        <v>589142400</v>
      </c>
      <c r="L4" s="383">
        <v>31880000</v>
      </c>
      <c r="M4" s="383">
        <v>28692000</v>
      </c>
      <c r="N4" s="383">
        <v>25504000</v>
      </c>
      <c r="O4" s="383">
        <v>22316000</v>
      </c>
      <c r="P4" s="383">
        <v>35068000</v>
      </c>
      <c r="Q4" s="383">
        <v>35068000</v>
      </c>
      <c r="R4" s="383">
        <v>38256000</v>
      </c>
      <c r="S4" s="414">
        <v>35068000</v>
      </c>
      <c r="T4" s="419">
        <f t="shared" ref="T4:T9" si="0">+S4+R4+Q4+P4+O4+N4+M4+L4+K4+J4+I4+H4</f>
        <v>1430136800</v>
      </c>
      <c r="U4" s="519">
        <f>SUM('bevételterv 2016'!E4)</f>
        <v>108812160</v>
      </c>
      <c r="V4" s="530">
        <f>F4+C4</f>
        <v>455519942.39999998</v>
      </c>
      <c r="W4" s="530">
        <f>D4+G4</f>
        <v>56300217.600000001</v>
      </c>
      <c r="X4" s="533">
        <f>E4+U4</f>
        <v>511820160</v>
      </c>
    </row>
    <row r="5" spans="1:24" s="222" customFormat="1" ht="12.75">
      <c r="A5" s="495"/>
      <c r="B5" s="493" t="s">
        <v>191</v>
      </c>
      <c r="C5" s="494">
        <f>SUM('bevételterv 2016'!B7)</f>
        <v>112140000</v>
      </c>
      <c r="D5" s="494">
        <f>SUM('bevételterv 2016'!C7)</f>
        <v>13860000</v>
      </c>
      <c r="E5" s="533">
        <f t="shared" ref="E5:E8" si="1">SUM(C5:D5)</f>
        <v>126000000</v>
      </c>
      <c r="F5" s="530">
        <f>C5*0.014</f>
        <v>1569960</v>
      </c>
      <c r="G5" s="530">
        <f>D5*0.014</f>
        <v>194040</v>
      </c>
      <c r="H5" s="514">
        <v>1764000</v>
      </c>
      <c r="I5" s="494">
        <v>113772052.8</v>
      </c>
      <c r="J5" s="494">
        <v>13991947.199999999</v>
      </c>
      <c r="K5" s="514">
        <v>129528000</v>
      </c>
      <c r="L5" s="383">
        <v>10500000</v>
      </c>
      <c r="M5" s="349">
        <v>10500000</v>
      </c>
      <c r="N5" s="383">
        <v>8400000</v>
      </c>
      <c r="O5" s="383">
        <v>7349999.9999999991</v>
      </c>
      <c r="P5" s="383">
        <v>8400000</v>
      </c>
      <c r="Q5" s="383">
        <v>11550000.000000002</v>
      </c>
      <c r="R5" s="383">
        <v>12600000</v>
      </c>
      <c r="S5" s="383">
        <v>11550000.000000002</v>
      </c>
      <c r="T5" s="419">
        <f t="shared" si="0"/>
        <v>339906000</v>
      </c>
      <c r="U5" s="519">
        <f>SUM('bevételterv 2016'!E7)</f>
        <v>1764000</v>
      </c>
      <c r="V5" s="530">
        <f t="shared" ref="V5:V8" si="2">F5+C5</f>
        <v>113709960</v>
      </c>
      <c r="W5" s="530">
        <f t="shared" ref="W5:W8" si="3">D5+G5</f>
        <v>14054040</v>
      </c>
      <c r="X5" s="533">
        <f t="shared" ref="X5:X9" si="4">E5+U5</f>
        <v>127764000</v>
      </c>
    </row>
    <row r="6" spans="1:24" s="222" customFormat="1" ht="12.75">
      <c r="A6" s="495"/>
      <c r="B6" s="493" t="s">
        <v>192</v>
      </c>
      <c r="C6" s="494">
        <f>SUM('bevételterv 2016'!B8)</f>
        <v>88302240</v>
      </c>
      <c r="D6" s="494">
        <f>SUM('bevételterv 2016'!C8)</f>
        <v>10913760</v>
      </c>
      <c r="E6" s="533">
        <f t="shared" si="1"/>
        <v>99216000</v>
      </c>
      <c r="F6" s="530">
        <f>C6*0.008</f>
        <v>706417.92</v>
      </c>
      <c r="G6" s="530">
        <f>D6*0.008</f>
        <v>87310.080000000002</v>
      </c>
      <c r="H6" s="514">
        <v>793728</v>
      </c>
      <c r="I6" s="494">
        <v>89036597.145600006</v>
      </c>
      <c r="J6" s="494">
        <v>10973130.8544</v>
      </c>
      <c r="K6" s="514">
        <v>100803456</v>
      </c>
      <c r="L6" s="383">
        <v>8268000</v>
      </c>
      <c r="M6" s="349">
        <v>8268000</v>
      </c>
      <c r="N6" s="349">
        <v>8268000</v>
      </c>
      <c r="O6" s="383">
        <v>8268000</v>
      </c>
      <c r="P6" s="349">
        <v>8268000</v>
      </c>
      <c r="Q6" s="349">
        <v>8268000</v>
      </c>
      <c r="R6" s="349">
        <v>8268000</v>
      </c>
      <c r="S6" s="349">
        <v>8268000</v>
      </c>
      <c r="T6" s="419">
        <f t="shared" si="0"/>
        <v>267750912</v>
      </c>
      <c r="U6" s="519">
        <f>SUM('bevételterv 2016'!E8)</f>
        <v>793728</v>
      </c>
      <c r="V6" s="530">
        <f t="shared" si="2"/>
        <v>89008657.920000002</v>
      </c>
      <c r="W6" s="530">
        <f t="shared" si="3"/>
        <v>11001070.08</v>
      </c>
      <c r="X6" s="533">
        <f t="shared" si="4"/>
        <v>100009728</v>
      </c>
    </row>
    <row r="7" spans="1:24" s="222" customFormat="1" ht="12.75">
      <c r="A7" s="495"/>
      <c r="B7" s="493" t="s">
        <v>193</v>
      </c>
      <c r="C7" s="494">
        <v>0</v>
      </c>
      <c r="D7" s="494">
        <v>0</v>
      </c>
      <c r="E7" s="533">
        <f t="shared" si="1"/>
        <v>0</v>
      </c>
      <c r="F7" s="530">
        <f t="shared" ref="F7:F8" si="5">C7*0.27</f>
        <v>0</v>
      </c>
      <c r="G7" s="494">
        <v>0</v>
      </c>
      <c r="H7" s="514">
        <v>0</v>
      </c>
      <c r="I7" s="494">
        <v>0</v>
      </c>
      <c r="J7" s="494">
        <v>0</v>
      </c>
      <c r="K7" s="514">
        <v>0</v>
      </c>
      <c r="L7" s="349"/>
      <c r="M7" s="349"/>
      <c r="N7" s="349"/>
      <c r="O7" s="349"/>
      <c r="P7" s="349"/>
      <c r="Q7" s="349"/>
      <c r="R7" s="349"/>
      <c r="S7" s="349"/>
      <c r="T7" s="419">
        <f t="shared" si="0"/>
        <v>0</v>
      </c>
      <c r="U7" s="519">
        <v>0</v>
      </c>
      <c r="V7" s="530">
        <f t="shared" si="2"/>
        <v>0</v>
      </c>
      <c r="W7" s="530">
        <f t="shared" si="3"/>
        <v>0</v>
      </c>
      <c r="X7" s="533">
        <f t="shared" si="4"/>
        <v>0</v>
      </c>
    </row>
    <row r="8" spans="1:24" s="222" customFormat="1" ht="12.75">
      <c r="A8" s="495"/>
      <c r="B8" s="493" t="s">
        <v>206</v>
      </c>
      <c r="C8" s="494">
        <f>SUM('bevételterv 2016'!B10)</f>
        <v>114796696</v>
      </c>
      <c r="D8" s="494">
        <v>0</v>
      </c>
      <c r="E8" s="533">
        <f t="shared" si="1"/>
        <v>114796696</v>
      </c>
      <c r="F8" s="530">
        <f t="shared" si="5"/>
        <v>30995107.920000002</v>
      </c>
      <c r="G8" s="494">
        <v>0</v>
      </c>
      <c r="H8" s="514">
        <v>30995107.920000002</v>
      </c>
      <c r="I8" s="494">
        <v>145791803.92000002</v>
      </c>
      <c r="J8" s="494">
        <v>0</v>
      </c>
      <c r="K8" s="514">
        <v>176786911.84000003</v>
      </c>
      <c r="L8" s="349"/>
      <c r="M8" s="349"/>
      <c r="N8" s="349"/>
      <c r="O8" s="349"/>
      <c r="P8" s="349"/>
      <c r="Q8" s="349">
        <v>45918678.400000006</v>
      </c>
      <c r="R8" s="349">
        <v>17219504.399999999</v>
      </c>
      <c r="S8" s="349">
        <v>17219504.399999999</v>
      </c>
      <c r="T8" s="419">
        <f t="shared" si="0"/>
        <v>433931510.88000005</v>
      </c>
      <c r="U8" s="519">
        <f>SUM('bevételterv 2016'!E10)</f>
        <v>30995107.920000002</v>
      </c>
      <c r="V8" s="530">
        <f t="shared" si="2"/>
        <v>145791803.92000002</v>
      </c>
      <c r="W8" s="530">
        <f t="shared" si="3"/>
        <v>0</v>
      </c>
      <c r="X8" s="533">
        <f t="shared" si="4"/>
        <v>145791803.92000002</v>
      </c>
    </row>
    <row r="9" spans="1:24" s="425" customFormat="1" ht="12.75">
      <c r="A9" s="504"/>
      <c r="B9" s="505" t="s">
        <v>197</v>
      </c>
      <c r="C9" s="506">
        <f>SUM(C4:C8)</f>
        <v>673916056</v>
      </c>
      <c r="D9" s="531">
        <f>SUM(D4:D8)</f>
        <v>69104640</v>
      </c>
      <c r="E9" s="542">
        <f>SUM(E4:E8)</f>
        <v>743020696</v>
      </c>
      <c r="F9" s="506">
        <f>SUM(F4:F8)</f>
        <v>130114308.24000001</v>
      </c>
      <c r="G9" s="506">
        <f>SUM(G4:G8)</f>
        <v>12250687.680000002</v>
      </c>
      <c r="H9" s="513">
        <v>136844035.92000002</v>
      </c>
      <c r="I9" s="506">
        <v>782325438.03318405</v>
      </c>
      <c r="J9" s="506">
        <v>77091293.886815995</v>
      </c>
      <c r="K9" s="513">
        <v>996260767.84000015</v>
      </c>
      <c r="L9" s="446">
        <v>49648000</v>
      </c>
      <c r="M9" s="446">
        <v>46560000</v>
      </c>
      <c r="N9" s="446">
        <v>41372000</v>
      </c>
      <c r="O9" s="446">
        <v>37234000</v>
      </c>
      <c r="P9" s="446">
        <v>50636000</v>
      </c>
      <c r="Q9" s="446">
        <v>99704678.400000006</v>
      </c>
      <c r="R9" s="446">
        <v>75143504.400000006</v>
      </c>
      <c r="S9" s="446">
        <v>72105504.400000006</v>
      </c>
      <c r="T9" s="446">
        <f t="shared" si="0"/>
        <v>2464925222.8800001</v>
      </c>
      <c r="U9" s="542">
        <f>SUM(U4:U8)</f>
        <v>142364995.92000002</v>
      </c>
      <c r="V9" s="531">
        <f>SUM(V4:V8)</f>
        <v>804030364.24000001</v>
      </c>
      <c r="W9" s="531">
        <f>SUM(W4:W8)</f>
        <v>81355327.679999992</v>
      </c>
      <c r="X9" s="543">
        <f t="shared" si="4"/>
        <v>885385691.92000008</v>
      </c>
    </row>
    <row r="10" spans="1:24" s="449" customFormat="1" ht="12.75">
      <c r="A10" s="496" t="s">
        <v>354</v>
      </c>
      <c r="B10" s="489"/>
      <c r="C10" s="488" t="s">
        <v>384</v>
      </c>
      <c r="D10" s="488" t="s">
        <v>385</v>
      </c>
      <c r="E10" s="514" t="s">
        <v>367</v>
      </c>
      <c r="F10" s="488" t="s">
        <v>386</v>
      </c>
      <c r="G10" s="488" t="s">
        <v>387</v>
      </c>
      <c r="H10" s="515" t="s">
        <v>388</v>
      </c>
      <c r="I10" s="488" t="s">
        <v>389</v>
      </c>
      <c r="J10" s="488" t="s">
        <v>387</v>
      </c>
      <c r="K10" s="512" t="s">
        <v>372</v>
      </c>
      <c r="L10" s="351" t="s">
        <v>196</v>
      </c>
      <c r="M10" s="351" t="s">
        <v>196</v>
      </c>
      <c r="N10" s="351" t="s">
        <v>196</v>
      </c>
      <c r="O10" s="351" t="s">
        <v>196</v>
      </c>
      <c r="P10" s="351" t="s">
        <v>196</v>
      </c>
      <c r="Q10" s="351" t="s">
        <v>196</v>
      </c>
      <c r="R10" s="351" t="s">
        <v>196</v>
      </c>
      <c r="S10" s="351" t="s">
        <v>196</v>
      </c>
      <c r="T10" s="353" t="s">
        <v>332</v>
      </c>
      <c r="U10" s="520" t="s">
        <v>388</v>
      </c>
      <c r="V10" s="528" t="s">
        <v>395</v>
      </c>
      <c r="W10" s="528" t="s">
        <v>398</v>
      </c>
      <c r="X10" s="532" t="s">
        <v>400</v>
      </c>
    </row>
    <row r="11" spans="1:24" s="17" customFormat="1">
      <c r="A11" s="507">
        <v>1</v>
      </c>
      <c r="B11" s="508" t="s">
        <v>21</v>
      </c>
      <c r="C11" s="509">
        <f>E11-D11</f>
        <v>261178408.80000001</v>
      </c>
      <c r="D11" s="509">
        <f>E11*7.48%</f>
        <v>21115591.200000003</v>
      </c>
      <c r="E11" s="518">
        <f>'2016 ktgterv_teljes parkolás'!P6</f>
        <v>282294000</v>
      </c>
      <c r="F11" s="494">
        <f>U11-G11</f>
        <v>1315842.57</v>
      </c>
      <c r="G11" s="494">
        <f>U11*7.48%</f>
        <v>106382.43000000001</v>
      </c>
      <c r="H11" s="516">
        <v>1422225</v>
      </c>
      <c r="I11" s="494">
        <v>262494251.37</v>
      </c>
      <c r="J11" s="494">
        <v>21221973.630000003</v>
      </c>
      <c r="K11" s="516">
        <v>285138450</v>
      </c>
      <c r="L11" s="447">
        <v>19100500</v>
      </c>
      <c r="M11" s="447">
        <v>20903000</v>
      </c>
      <c r="N11" s="447">
        <v>19120500</v>
      </c>
      <c r="O11" s="447">
        <v>19120500</v>
      </c>
      <c r="P11" s="447">
        <v>21083000</v>
      </c>
      <c r="Q11" s="447">
        <v>19100500</v>
      </c>
      <c r="R11" s="447">
        <v>19142000</v>
      </c>
      <c r="S11" s="447">
        <v>35795000</v>
      </c>
      <c r="T11" s="448">
        <f t="shared" ref="T11:T16" si="6">+S11+R11+Q11+P11+O11+N11+M11+L11+K11+J11+I11+H11</f>
        <v>743641900</v>
      </c>
      <c r="U11" s="521">
        <f>SUM('2016 ktgterv_teljes parkolás'!Q6)</f>
        <v>1422225</v>
      </c>
      <c r="V11" s="517">
        <f>C11+F11</f>
        <v>262494251.37</v>
      </c>
      <c r="W11" s="517">
        <v>21221974</v>
      </c>
      <c r="X11" s="535">
        <f>SUM(V11:W11)</f>
        <v>283716225.37</v>
      </c>
    </row>
    <row r="12" spans="1:24" s="17" customFormat="1">
      <c r="A12" s="497">
        <v>2</v>
      </c>
      <c r="B12" s="487" t="s">
        <v>200</v>
      </c>
      <c r="C12" s="509">
        <f>E12-D12</f>
        <v>269329109.93279999</v>
      </c>
      <c r="D12" s="509">
        <f>E12*7.48%</f>
        <v>21774554.067200001</v>
      </c>
      <c r="E12" s="518">
        <f>'2016 ktgterv_teljes parkolás'!P17</f>
        <v>291103664</v>
      </c>
      <c r="F12" s="494">
        <f>C12*0.27</f>
        <v>72718859.681856006</v>
      </c>
      <c r="G12" s="530">
        <f>D12*0.27</f>
        <v>5879129.5981440004</v>
      </c>
      <c r="H12" s="514">
        <v>81000989.280000001</v>
      </c>
      <c r="I12" s="494">
        <v>361701118.01465601</v>
      </c>
      <c r="J12" s="494">
        <v>19303535.265344001</v>
      </c>
      <c r="K12" s="514">
        <v>462005642.56000006</v>
      </c>
      <c r="L12" s="429">
        <v>24810388.666666668</v>
      </c>
      <c r="M12" s="429">
        <v>24810388.666666668</v>
      </c>
      <c r="N12" s="429">
        <v>24810388.666666668</v>
      </c>
      <c r="O12" s="429">
        <v>24810388.666666668</v>
      </c>
      <c r="P12" s="429">
        <v>25260388.666666668</v>
      </c>
      <c r="Q12" s="429">
        <v>24810388.666666668</v>
      </c>
      <c r="R12" s="429">
        <v>24810388.666666668</v>
      </c>
      <c r="S12" s="429">
        <v>24810388.666666668</v>
      </c>
      <c r="T12" s="349">
        <f t="shared" si="6"/>
        <v>1122944394.4533334</v>
      </c>
      <c r="U12" s="535">
        <f>SUM('2016 ktgterv_teljes parkolás'!Q17)</f>
        <v>78597989.280000001</v>
      </c>
      <c r="V12" s="517">
        <f>C12+F12</f>
        <v>342047969.61465597</v>
      </c>
      <c r="W12" s="517">
        <v>27653684</v>
      </c>
      <c r="X12" s="535">
        <f t="shared" ref="X12" si="7">SUM(V12:W12)</f>
        <v>369701653.61465597</v>
      </c>
    </row>
    <row r="13" spans="1:24" s="17" customFormat="1">
      <c r="A13" s="497">
        <v>3</v>
      </c>
      <c r="B13" s="492" t="s">
        <v>51</v>
      </c>
      <c r="C13" s="509">
        <f>E13-D13</f>
        <v>117553946.8752</v>
      </c>
      <c r="D13" s="509">
        <f>E13*0.0748</f>
        <v>9503929.1248000003</v>
      </c>
      <c r="E13" s="518">
        <f>'2016 ktgterv_teljes parkolás'!P28</f>
        <v>127057876</v>
      </c>
      <c r="F13" s="530">
        <f>U13-G13</f>
        <v>30804830.063999999</v>
      </c>
      <c r="G13" s="530">
        <f>U13*0.0748</f>
        <v>2490489.9360000002</v>
      </c>
      <c r="H13" s="514">
        <v>3240000</v>
      </c>
      <c r="I13" s="494">
        <v>176869391.301792</v>
      </c>
      <c r="J13" s="494">
        <v>14299427.658208001</v>
      </c>
      <c r="K13" s="514">
        <v>194408818.96000001</v>
      </c>
      <c r="L13" s="429">
        <v>15287564.303030303</v>
      </c>
      <c r="M13" s="429">
        <v>15497761.459696971</v>
      </c>
      <c r="N13" s="429">
        <v>14740897.636363637</v>
      </c>
      <c r="O13" s="429">
        <v>14390897.636363637</v>
      </c>
      <c r="P13" s="429">
        <v>16147761.459696971</v>
      </c>
      <c r="Q13" s="429">
        <v>19390897.636363637</v>
      </c>
      <c r="R13" s="429">
        <v>19740897.636363637</v>
      </c>
      <c r="S13" s="429">
        <v>20564428.126363635</v>
      </c>
      <c r="T13" s="349">
        <f t="shared" si="6"/>
        <v>524578743.81424248</v>
      </c>
      <c r="U13" s="535">
        <f>SUM('2016 ktgterv_teljes parkolás'!Q28)</f>
        <v>33295320</v>
      </c>
      <c r="V13" s="517">
        <f>C13+F13</f>
        <v>148358776.93920001</v>
      </c>
      <c r="W13" s="517">
        <f>167973196*0.0748</f>
        <v>12564395.060800001</v>
      </c>
      <c r="X13" s="535">
        <v>167973196</v>
      </c>
    </row>
    <row r="14" spans="1:24" s="17" customFormat="1">
      <c r="A14" s="498" t="s">
        <v>145</v>
      </c>
      <c r="B14" s="491" t="s">
        <v>355</v>
      </c>
      <c r="C14" s="349">
        <f>SUM(C11:C13)</f>
        <v>648061465.60800004</v>
      </c>
      <c r="D14" s="349">
        <f>SUM(D11:D13)</f>
        <v>52394074.392000005</v>
      </c>
      <c r="E14" s="542">
        <f t="shared" ref="E14:E15" si="8">C14+D14</f>
        <v>700455540</v>
      </c>
      <c r="F14" s="349">
        <f>SUM(F11:F13)</f>
        <v>104839532.31585599</v>
      </c>
      <c r="G14" s="349">
        <f>SUM(G11:G13)</f>
        <v>8476001.9641440008</v>
      </c>
      <c r="H14" s="514">
        <v>85663214.280000001</v>
      </c>
      <c r="I14" s="494">
        <v>799109787.88644803</v>
      </c>
      <c r="J14" s="494">
        <v>56779909.353552006</v>
      </c>
      <c r="K14" s="514">
        <v>941552911.51999998</v>
      </c>
      <c r="L14" s="383">
        <v>59198452.969696976</v>
      </c>
      <c r="M14" s="383">
        <v>61211150.126363643</v>
      </c>
      <c r="N14" s="383">
        <v>58671786.303030312</v>
      </c>
      <c r="O14" s="383">
        <v>58321786.303030312</v>
      </c>
      <c r="P14" s="383">
        <v>62491150.126363643</v>
      </c>
      <c r="Q14" s="383">
        <v>63301786.303030312</v>
      </c>
      <c r="R14" s="383">
        <v>63693286.303030312</v>
      </c>
      <c r="S14" s="383">
        <v>81169816.793030307</v>
      </c>
      <c r="T14" s="349">
        <f t="shared" si="6"/>
        <v>2391165038.2675762</v>
      </c>
      <c r="U14" s="544">
        <f>SUM(U11:U13)</f>
        <v>113315534.28</v>
      </c>
      <c r="V14" s="349">
        <f>SUM(V11:V13)</f>
        <v>752900997.92385602</v>
      </c>
      <c r="W14" s="349">
        <f>SUM(W11:W13)</f>
        <v>61440053.060800001</v>
      </c>
      <c r="X14" s="544">
        <f>SUM(X11:X13)</f>
        <v>821391074.98465598</v>
      </c>
    </row>
    <row r="15" spans="1:24" s="17" customFormat="1">
      <c r="A15" s="497">
        <v>5</v>
      </c>
      <c r="B15" s="487" t="s">
        <v>350</v>
      </c>
      <c r="C15" s="517">
        <v>20350000</v>
      </c>
      <c r="D15" s="517"/>
      <c r="E15" s="518">
        <f t="shared" si="8"/>
        <v>20350000</v>
      </c>
      <c r="F15" s="517">
        <f>C15*27%</f>
        <v>5494500</v>
      </c>
      <c r="G15" s="517">
        <f>D15*0.27</f>
        <v>0</v>
      </c>
      <c r="H15" s="514">
        <v>5494500</v>
      </c>
      <c r="I15" s="494">
        <v>23911331.399999999</v>
      </c>
      <c r="J15" s="494">
        <v>1933168.6</v>
      </c>
      <c r="K15" s="514">
        <v>31339000</v>
      </c>
      <c r="L15" s="428">
        <v>0</v>
      </c>
      <c r="M15" s="428">
        <v>0</v>
      </c>
      <c r="N15" s="428">
        <v>0</v>
      </c>
      <c r="O15" s="428">
        <v>7500000</v>
      </c>
      <c r="P15" s="428">
        <v>0</v>
      </c>
      <c r="Q15" s="428">
        <v>0</v>
      </c>
      <c r="R15" s="428">
        <v>0</v>
      </c>
      <c r="S15" s="428">
        <v>0</v>
      </c>
      <c r="T15" s="349">
        <f t="shared" si="6"/>
        <v>70178000</v>
      </c>
      <c r="U15" s="535">
        <f t="shared" ref="U15:U17" si="9">SUM(F15:G15)</f>
        <v>5494500</v>
      </c>
      <c r="V15" s="537">
        <f>C15+F15</f>
        <v>25844500</v>
      </c>
      <c r="W15" s="537" t="s">
        <v>159</v>
      </c>
      <c r="X15" s="535">
        <f t="shared" ref="X15:X17" si="10">SUM(V15:W15)</f>
        <v>25844500</v>
      </c>
    </row>
    <row r="16" spans="1:24" s="158" customFormat="1">
      <c r="A16" s="510"/>
      <c r="B16" s="511" t="s">
        <v>357</v>
      </c>
      <c r="C16" s="506">
        <f>C14+C15</f>
        <v>668411465.60800004</v>
      </c>
      <c r="D16" s="531">
        <f>SUM(D14:D15)</f>
        <v>52394074.392000005</v>
      </c>
      <c r="E16" s="542">
        <f>C16+D16</f>
        <v>720805540</v>
      </c>
      <c r="F16" s="506">
        <f>F14+F15</f>
        <v>110334032.31585599</v>
      </c>
      <c r="G16" s="531">
        <f>G14+G15</f>
        <v>8476001.9641440008</v>
      </c>
      <c r="H16" s="513">
        <v>91157714.280000001</v>
      </c>
      <c r="I16" s="506">
        <v>823021119.286448</v>
      </c>
      <c r="J16" s="506">
        <v>58713077.953552008</v>
      </c>
      <c r="K16" s="513">
        <v>972891911.51999998</v>
      </c>
      <c r="L16" s="446">
        <v>59198452.969696976</v>
      </c>
      <c r="M16" s="446">
        <v>61211150.126363643</v>
      </c>
      <c r="N16" s="446">
        <v>58671786.303030312</v>
      </c>
      <c r="O16" s="446">
        <v>65821786.303030312</v>
      </c>
      <c r="P16" s="446">
        <v>62491150.126363643</v>
      </c>
      <c r="Q16" s="446">
        <v>63301786.303030312</v>
      </c>
      <c r="R16" s="446">
        <v>63693286.303030312</v>
      </c>
      <c r="S16" s="446">
        <v>81169816.793030307</v>
      </c>
      <c r="T16" s="446">
        <f t="shared" si="6"/>
        <v>2461343038.2675757</v>
      </c>
      <c r="U16" s="535">
        <f t="shared" si="9"/>
        <v>118810034.28</v>
      </c>
      <c r="V16" s="531">
        <f>SUM(V14:V15)</f>
        <v>778745497.92385602</v>
      </c>
      <c r="W16" s="531">
        <f>SUM(W14:W15)</f>
        <v>61440053.060800001</v>
      </c>
      <c r="X16" s="544">
        <f t="shared" si="10"/>
        <v>840185550.98465598</v>
      </c>
    </row>
    <row r="17" spans="1:24" s="450" customFormat="1">
      <c r="A17" s="499" t="s">
        <v>368</v>
      </c>
      <c r="B17" s="500" t="s">
        <v>374</v>
      </c>
      <c r="C17" s="490">
        <f>C9-C16</f>
        <v>5504590.3919999599</v>
      </c>
      <c r="D17" s="529">
        <f>D9-D16</f>
        <v>16710565.607999995</v>
      </c>
      <c r="E17" s="514">
        <f>E9-E16</f>
        <v>22215156</v>
      </c>
      <c r="F17" s="490">
        <f>F9-F16</f>
        <v>19780275.924144015</v>
      </c>
      <c r="G17" s="490">
        <f>G9-G16</f>
        <v>3774685.7158560008</v>
      </c>
      <c r="H17" s="514">
        <v>45686321.640000015</v>
      </c>
      <c r="I17" s="490"/>
      <c r="J17" s="490"/>
      <c r="K17" s="514"/>
      <c r="L17" s="353">
        <v>-9550452.9696969762</v>
      </c>
      <c r="M17" s="353">
        <v>-14651150.126363643</v>
      </c>
      <c r="N17" s="353">
        <v>-17299786.303030312</v>
      </c>
      <c r="O17" s="353">
        <v>-28587786.303030312</v>
      </c>
      <c r="P17" s="353">
        <v>-11855150.126363643</v>
      </c>
      <c r="Q17" s="353">
        <v>36402892.096969694</v>
      </c>
      <c r="R17" s="353">
        <v>11450218.096969694</v>
      </c>
      <c r="S17" s="353">
        <v>-6026312.3930303007</v>
      </c>
      <c r="T17" s="353">
        <f t="shared" ref="T17" si="11">+T9-T16</f>
        <v>3582184.6124243736</v>
      </c>
      <c r="U17" s="535">
        <f t="shared" si="9"/>
        <v>23554961.640000015</v>
      </c>
      <c r="V17" s="529">
        <f>V9-V16</f>
        <v>25284866.31614399</v>
      </c>
      <c r="W17" s="529">
        <f>W9-W16</f>
        <v>19915274.619199991</v>
      </c>
      <c r="X17" s="535">
        <f t="shared" si="10"/>
        <v>45200140.935343981</v>
      </c>
    </row>
    <row r="18" spans="1:24" s="433" customFormat="1">
      <c r="A18" s="451"/>
      <c r="B18" s="452"/>
      <c r="C18" s="342"/>
      <c r="D18" s="342"/>
      <c r="E18" s="342"/>
      <c r="F18" s="342"/>
      <c r="G18" s="342"/>
      <c r="H18" s="377"/>
      <c r="I18" s="377"/>
      <c r="J18" s="377"/>
      <c r="K18" s="377"/>
      <c r="L18" s="377"/>
      <c r="M18" s="377"/>
      <c r="N18" s="377"/>
      <c r="O18" s="377"/>
      <c r="P18" s="377"/>
      <c r="Q18" s="377"/>
      <c r="R18" s="377"/>
      <c r="S18" s="377"/>
      <c r="T18" s="453"/>
    </row>
    <row r="19" spans="1:24" s="438" customFormat="1">
      <c r="A19" s="73"/>
      <c r="B19" s="444"/>
      <c r="C19" s="453"/>
      <c r="D19" s="458"/>
      <c r="E19" s="453"/>
      <c r="F19" s="453"/>
      <c r="G19" s="453"/>
      <c r="H19" s="453"/>
      <c r="I19" s="453"/>
      <c r="J19" s="453"/>
      <c r="K19" s="453"/>
      <c r="L19" s="453"/>
      <c r="M19" s="453"/>
      <c r="N19" s="453"/>
      <c r="O19" s="453"/>
      <c r="P19" s="453"/>
      <c r="Q19" s="453"/>
      <c r="R19" s="453"/>
      <c r="S19" s="453"/>
      <c r="T19" s="453"/>
    </row>
    <row r="20" spans="1:24" s="433" customFormat="1">
      <c r="A20" s="73"/>
      <c r="B20" s="444"/>
      <c r="C20" s="342"/>
      <c r="D20" s="342"/>
      <c r="E20" s="342"/>
      <c r="F20" s="356"/>
      <c r="G20" s="342"/>
      <c r="H20" s="377"/>
      <c r="I20" s="377"/>
      <c r="J20" s="377"/>
      <c r="K20" s="445"/>
      <c r="L20" s="445"/>
      <c r="M20" s="445"/>
      <c r="N20" s="445"/>
      <c r="O20" s="445"/>
      <c r="P20" s="445"/>
      <c r="Q20" s="445"/>
      <c r="R20" s="445"/>
      <c r="S20" s="445"/>
      <c r="T20" s="445"/>
      <c r="U20" s="486"/>
    </row>
    <row r="21" spans="1:24" s="359" customFormat="1">
      <c r="A21" s="70"/>
      <c r="B21" s="380"/>
      <c r="C21" s="363"/>
      <c r="D21" s="363"/>
      <c r="E21" s="363"/>
      <c r="F21" s="363"/>
      <c r="G21" s="363"/>
      <c r="H21" s="420"/>
      <c r="I21" s="420"/>
      <c r="J21" s="420"/>
      <c r="K21" s="421"/>
      <c r="L21" s="421"/>
      <c r="M21" s="421"/>
      <c r="N21" s="421"/>
      <c r="O21" s="421"/>
      <c r="P21" s="421"/>
      <c r="Q21" s="421"/>
      <c r="R21" s="421"/>
      <c r="S21" s="421"/>
      <c r="T21" s="421"/>
    </row>
  </sheetData>
  <pageMargins left="0" right="0" top="0" bottom="0" header="0.31496062992125984" footer="0.31496062992125984"/>
  <pageSetup paperSize="256" scale="68" orientation="landscape" r:id="rId1"/>
  <colBreaks count="1" manualBreakCount="1">
    <brk id="2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S22"/>
  <sheetViews>
    <sheetView workbookViewId="0">
      <pane xSplit="5" topLeftCell="AI1" activePane="topRight" state="frozen"/>
      <selection pane="topRight" activeCell="C19" sqref="C19"/>
    </sheetView>
  </sheetViews>
  <sheetFormatPr defaultRowHeight="15"/>
  <cols>
    <col min="1" max="1" width="16.140625" style="385" customWidth="1"/>
    <col min="2" max="2" width="32.140625" style="381" customWidth="1"/>
    <col min="3" max="3" width="16.28515625" style="356" bestFit="1" customWidth="1"/>
    <col min="4" max="4" width="15.28515625" style="356" bestFit="1" customWidth="1"/>
    <col min="5" max="5" width="16.28515625" style="356" customWidth="1"/>
    <col min="6" max="6" width="13.7109375" style="156" hidden="1" customWidth="1"/>
    <col min="7" max="7" width="14.5703125" style="284" hidden="1" customWidth="1"/>
    <col min="8" max="8" width="13" style="284" hidden="1" customWidth="1"/>
    <col min="9" max="9" width="14.5703125" style="284" hidden="1" customWidth="1"/>
    <col min="10" max="10" width="13.7109375" style="284" hidden="1" customWidth="1"/>
    <col min="11" max="11" width="12.42578125" style="284" hidden="1" customWidth="1"/>
    <col min="12" max="12" width="14.85546875" style="284" hidden="1" customWidth="1"/>
    <col min="13" max="13" width="13.42578125" style="284" hidden="1" customWidth="1"/>
    <col min="14" max="14" width="12.85546875" style="284" hidden="1" customWidth="1"/>
    <col min="15" max="16" width="14.140625" style="284" hidden="1" customWidth="1"/>
    <col min="17" max="17" width="13.7109375" style="225" hidden="1" customWidth="1"/>
    <col min="18" max="18" width="14.85546875" style="225" hidden="1" customWidth="1"/>
    <col min="19" max="19" width="13.85546875" style="225" hidden="1" customWidth="1"/>
    <col min="20" max="43" width="15.7109375" style="225" hidden="1" customWidth="1"/>
    <col min="44" max="44" width="15.7109375" style="278" hidden="1" customWidth="1"/>
    <col min="45" max="45" width="14.5703125" style="278" bestFit="1" customWidth="1"/>
    <col min="46" max="16384" width="9.140625" style="278"/>
  </cols>
  <sheetData>
    <row r="2" spans="1:45">
      <c r="A2" s="566" t="s">
        <v>361</v>
      </c>
      <c r="B2" s="567"/>
      <c r="C2" s="567"/>
      <c r="D2" s="567"/>
      <c r="E2" s="568"/>
      <c r="F2" s="345"/>
      <c r="G2" s="558" t="s">
        <v>6</v>
      </c>
      <c r="H2" s="558"/>
      <c r="I2" s="558"/>
      <c r="J2" s="558" t="s">
        <v>7</v>
      </c>
      <c r="K2" s="558"/>
      <c r="L2" s="558"/>
      <c r="M2" s="558" t="s">
        <v>8</v>
      </c>
      <c r="N2" s="558"/>
      <c r="O2" s="558"/>
      <c r="P2" s="558" t="s">
        <v>9</v>
      </c>
      <c r="Q2" s="558"/>
      <c r="R2" s="558"/>
      <c r="S2" s="558" t="s">
        <v>10</v>
      </c>
      <c r="T2" s="558"/>
      <c r="U2" s="558"/>
      <c r="V2" s="558" t="s">
        <v>11</v>
      </c>
      <c r="W2" s="558"/>
      <c r="X2" s="558"/>
      <c r="Y2" s="558" t="s">
        <v>12</v>
      </c>
      <c r="Z2" s="558"/>
      <c r="AA2" s="558"/>
      <c r="AB2" s="558" t="s">
        <v>13</v>
      </c>
      <c r="AC2" s="558"/>
      <c r="AD2" s="558"/>
      <c r="AE2" s="558" t="s">
        <v>14</v>
      </c>
      <c r="AF2" s="558"/>
      <c r="AG2" s="558"/>
      <c r="AH2" s="558" t="s">
        <v>15</v>
      </c>
      <c r="AI2" s="558"/>
      <c r="AJ2" s="558"/>
      <c r="AK2" s="558" t="s">
        <v>16</v>
      </c>
      <c r="AL2" s="558"/>
      <c r="AM2" s="558"/>
      <c r="AN2" s="558" t="s">
        <v>17</v>
      </c>
      <c r="AO2" s="558"/>
      <c r="AP2" s="558"/>
      <c r="AQ2" s="437">
        <v>2016</v>
      </c>
    </row>
    <row r="3" spans="1:45" s="222" customFormat="1" ht="12.75">
      <c r="A3" s="423" t="s">
        <v>353</v>
      </c>
      <c r="B3" s="352"/>
      <c r="C3" s="351" t="s">
        <v>194</v>
      </c>
      <c r="D3" s="351" t="s">
        <v>195</v>
      </c>
      <c r="E3" s="351" t="s">
        <v>394</v>
      </c>
      <c r="F3" s="351" t="s">
        <v>335</v>
      </c>
      <c r="G3" s="351" t="s">
        <v>194</v>
      </c>
      <c r="H3" s="351" t="s">
        <v>195</v>
      </c>
      <c r="I3" s="351" t="s">
        <v>196</v>
      </c>
      <c r="J3" s="351" t="s">
        <v>194</v>
      </c>
      <c r="K3" s="351" t="s">
        <v>195</v>
      </c>
      <c r="L3" s="351" t="s">
        <v>196</v>
      </c>
      <c r="M3" s="351" t="s">
        <v>194</v>
      </c>
      <c r="N3" s="351" t="s">
        <v>195</v>
      </c>
      <c r="O3" s="351" t="s">
        <v>196</v>
      </c>
      <c r="P3" s="351" t="s">
        <v>194</v>
      </c>
      <c r="Q3" s="351" t="s">
        <v>195</v>
      </c>
      <c r="R3" s="351" t="s">
        <v>196</v>
      </c>
      <c r="S3" s="351" t="s">
        <v>194</v>
      </c>
      <c r="T3" s="351" t="s">
        <v>195</v>
      </c>
      <c r="U3" s="351" t="s">
        <v>196</v>
      </c>
      <c r="V3" s="351" t="s">
        <v>194</v>
      </c>
      <c r="W3" s="351" t="s">
        <v>195</v>
      </c>
      <c r="X3" s="351" t="s">
        <v>196</v>
      </c>
      <c r="Y3" s="351" t="s">
        <v>194</v>
      </c>
      <c r="Z3" s="351" t="s">
        <v>195</v>
      </c>
      <c r="AA3" s="351" t="s">
        <v>196</v>
      </c>
      <c r="AB3" s="351" t="s">
        <v>194</v>
      </c>
      <c r="AC3" s="351" t="s">
        <v>195</v>
      </c>
      <c r="AD3" s="351" t="s">
        <v>196</v>
      </c>
      <c r="AE3" s="351" t="s">
        <v>194</v>
      </c>
      <c r="AF3" s="351" t="s">
        <v>195</v>
      </c>
      <c r="AG3" s="351" t="s">
        <v>196</v>
      </c>
      <c r="AH3" s="351" t="s">
        <v>194</v>
      </c>
      <c r="AI3" s="351" t="s">
        <v>195</v>
      </c>
      <c r="AJ3" s="351" t="s">
        <v>196</v>
      </c>
      <c r="AK3" s="351" t="s">
        <v>194</v>
      </c>
      <c r="AL3" s="351" t="s">
        <v>195</v>
      </c>
      <c r="AM3" s="351" t="s">
        <v>196</v>
      </c>
      <c r="AN3" s="351" t="s">
        <v>194</v>
      </c>
      <c r="AO3" s="351" t="s">
        <v>195</v>
      </c>
      <c r="AP3" s="351" t="s">
        <v>196</v>
      </c>
      <c r="AQ3" s="353" t="s">
        <v>332</v>
      </c>
    </row>
    <row r="4" spans="1:45" s="222" customFormat="1" ht="12.75">
      <c r="A4" s="386"/>
      <c r="B4" s="382" t="s">
        <v>337</v>
      </c>
      <c r="C4" s="349">
        <f>+'bevételterv 2016'!B4</f>
        <v>358677120</v>
      </c>
      <c r="D4" s="349">
        <f>+'bevételterv 2016'!C4</f>
        <v>44330880</v>
      </c>
      <c r="E4" s="349">
        <f>SUM(C4:D4)</f>
        <v>403008000</v>
      </c>
      <c r="F4" s="383">
        <f>+'bevételterv 2016'!G4</f>
        <v>33584000</v>
      </c>
      <c r="G4" s="383">
        <f>+'bevételterv 2016'!H4</f>
        <v>26900784</v>
      </c>
      <c r="H4" s="383">
        <f>+'bevételterv 2016'!I4</f>
        <v>3324816</v>
      </c>
      <c r="I4" s="428">
        <f>+'bevételterv 2016'!J4</f>
        <v>30225600</v>
      </c>
      <c r="J4" s="383">
        <f>+'bevételterv 2016'!K4</f>
        <v>32878736</v>
      </c>
      <c r="K4" s="383">
        <f>+'bevételterv 2016'!L4</f>
        <v>4063664</v>
      </c>
      <c r="L4" s="428">
        <f>+'bevételterv 2016'!M4</f>
        <v>36942400</v>
      </c>
      <c r="M4" s="383">
        <f>+'bevételterv 2016'!N4</f>
        <v>32878736</v>
      </c>
      <c r="N4" s="383">
        <f>+'bevételterv 2016'!O4</f>
        <v>4063664</v>
      </c>
      <c r="O4" s="530">
        <f>+'bevételterv 2016'!P4</f>
        <v>36942400</v>
      </c>
      <c r="P4" s="546">
        <f>+'bevételterv 2016'!Q4</f>
        <v>29889760</v>
      </c>
      <c r="Q4" s="383">
        <f>+'bevételterv 2016'!R4</f>
        <v>3694240</v>
      </c>
      <c r="R4" s="530">
        <f>+'bevételterv 2016'!S4</f>
        <v>33584000</v>
      </c>
      <c r="S4" s="383">
        <f>+'bevételterv 2016'!T4</f>
        <v>29889760</v>
      </c>
      <c r="T4" s="383">
        <f>+'bevételterv 2016'!U4</f>
        <v>3694240</v>
      </c>
      <c r="U4" s="428">
        <f>+'bevételterv 2016'!V4</f>
        <v>33584000</v>
      </c>
      <c r="V4" s="383">
        <f>+'bevételterv 2016'!W4</f>
        <v>26900784</v>
      </c>
      <c r="W4" s="383">
        <f>+'bevételterv 2016'!X4</f>
        <v>3324816</v>
      </c>
      <c r="X4" s="428">
        <f>+'bevételterv 2016'!Y4</f>
        <v>30225600</v>
      </c>
      <c r="Y4" s="383">
        <f>+'bevételterv 2016'!Z4</f>
        <v>23911808</v>
      </c>
      <c r="Z4" s="383">
        <f>+'bevételterv 2016'!AA4</f>
        <v>2955392</v>
      </c>
      <c r="AA4" s="428">
        <f>+'bevételterv 2016'!AB4</f>
        <v>26867200</v>
      </c>
      <c r="AB4" s="383">
        <f>+'bevételterv 2016'!AC4</f>
        <v>20922832</v>
      </c>
      <c r="AC4" s="383">
        <f>+'bevételterv 2016'!AD4</f>
        <v>2585968</v>
      </c>
      <c r="AD4" s="428">
        <f>+'bevételterv 2016'!AE4</f>
        <v>23508800</v>
      </c>
      <c r="AE4" s="383">
        <f>+'bevételterv 2016'!AF4</f>
        <v>32878736</v>
      </c>
      <c r="AF4" s="383">
        <f>+'bevételterv 2016'!AG4</f>
        <v>4063664</v>
      </c>
      <c r="AG4" s="428">
        <f>+'bevételterv 2016'!AH4</f>
        <v>36942400</v>
      </c>
      <c r="AH4" s="383">
        <f>+'bevételterv 2016'!AI4</f>
        <v>32878736</v>
      </c>
      <c r="AI4" s="383">
        <f>+'bevételterv 2016'!AJ4</f>
        <v>4063664</v>
      </c>
      <c r="AJ4" s="428">
        <f>+'bevételterv 2016'!AK4</f>
        <v>36942400</v>
      </c>
      <c r="AK4" s="383">
        <f>+'bevételterv 2016'!AL4</f>
        <v>35867712</v>
      </c>
      <c r="AL4" s="383">
        <f>+'bevételterv 2016'!AM4</f>
        <v>4433088</v>
      </c>
      <c r="AM4" s="428">
        <f>+'bevételterv 2016'!AN4</f>
        <v>40300800</v>
      </c>
      <c r="AN4" s="345">
        <f t="shared" ref="AN4:AP4" si="0">SUM(AN5:AN6)</f>
        <v>31210520</v>
      </c>
      <c r="AO4" s="345">
        <f t="shared" si="0"/>
        <v>3857480</v>
      </c>
      <c r="AP4" s="536">
        <f t="shared" si="0"/>
        <v>35068000</v>
      </c>
      <c r="AQ4" s="419">
        <f>+AP4+AM4+AJ4+AG4+AD4+AA4+X4+U4+R4+O4+L4+I4</f>
        <v>401133600</v>
      </c>
      <c r="AR4" s="541"/>
    </row>
    <row r="5" spans="1:45" s="221" customFormat="1" ht="12.75">
      <c r="A5" s="386"/>
      <c r="B5" s="347" t="s">
        <v>338</v>
      </c>
      <c r="C5" s="383">
        <f>+'bevételterv 2016'!B5</f>
        <v>166864320</v>
      </c>
      <c r="D5" s="530">
        <f>+'bevételterv 2016'!C5</f>
        <v>20623680</v>
      </c>
      <c r="E5" s="383">
        <f t="shared" ref="E5:E10" si="1">SUM(C5:D5)</f>
        <v>187488000</v>
      </c>
      <c r="F5" s="418">
        <v>15530000</v>
      </c>
      <c r="G5" s="383">
        <f>+I5*0.89</f>
        <v>12439530</v>
      </c>
      <c r="H5" s="383">
        <f>+I5-G5</f>
        <v>1537470</v>
      </c>
      <c r="I5" s="384">
        <f>0.9*F5</f>
        <v>13977000</v>
      </c>
      <c r="J5" s="383">
        <f>+L5*0.89</f>
        <v>15203870</v>
      </c>
      <c r="K5" s="383">
        <f>+L5-J5</f>
        <v>1879130</v>
      </c>
      <c r="L5" s="384">
        <f>+F5*1.1</f>
        <v>17083000</v>
      </c>
      <c r="M5" s="383">
        <f>+O5*0.89</f>
        <v>13821700</v>
      </c>
      <c r="N5" s="383">
        <f>+O5-M5</f>
        <v>1708300</v>
      </c>
      <c r="O5" s="383">
        <f>+F5</f>
        <v>15530000</v>
      </c>
      <c r="P5" s="383">
        <f>+R5*0.89</f>
        <v>13821700</v>
      </c>
      <c r="Q5" s="383">
        <f>+R5-P5</f>
        <v>1708300</v>
      </c>
      <c r="R5" s="383">
        <f>+F5</f>
        <v>15530000</v>
      </c>
      <c r="S5" s="383">
        <f>+U5*0.89</f>
        <v>13821700</v>
      </c>
      <c r="T5" s="383">
        <f>+U5-S5</f>
        <v>1708300</v>
      </c>
      <c r="U5" s="383">
        <f>+F5</f>
        <v>15530000</v>
      </c>
      <c r="V5" s="383">
        <f>+X5*0.89</f>
        <v>12439530</v>
      </c>
      <c r="W5" s="383">
        <f>+X5-V5</f>
        <v>1537470</v>
      </c>
      <c r="X5" s="383">
        <f>+F5*0.9</f>
        <v>13977000</v>
      </c>
      <c r="Y5" s="383">
        <f>+AA5*0.89</f>
        <v>11057360</v>
      </c>
      <c r="Z5" s="383">
        <f>+AA5-Y5</f>
        <v>1366640</v>
      </c>
      <c r="AA5" s="383">
        <f>+F5*0.8</f>
        <v>12424000</v>
      </c>
      <c r="AB5" s="383">
        <f>+AD5*0.89</f>
        <v>9675190</v>
      </c>
      <c r="AC5" s="383">
        <f>+AD5-AB5</f>
        <v>1195810</v>
      </c>
      <c r="AD5" s="383">
        <f>+F5*0.7</f>
        <v>10871000</v>
      </c>
      <c r="AE5" s="383">
        <f>+AG5*0.89</f>
        <v>15203870</v>
      </c>
      <c r="AF5" s="383">
        <f>+AG5-AE5:AE6</f>
        <v>1879130</v>
      </c>
      <c r="AG5" s="383">
        <f>+F5*1.1</f>
        <v>17083000</v>
      </c>
      <c r="AH5" s="383">
        <f>+AJ5*0.89</f>
        <v>15203870</v>
      </c>
      <c r="AI5" s="383">
        <f>+AJ5-AH5</f>
        <v>1879130</v>
      </c>
      <c r="AJ5" s="383">
        <f>+F5*1.1</f>
        <v>17083000</v>
      </c>
      <c r="AK5" s="383">
        <f>+AM5*0.89</f>
        <v>16586040</v>
      </c>
      <c r="AL5" s="383">
        <f>+AM5-AK5</f>
        <v>2049960</v>
      </c>
      <c r="AM5" s="383">
        <f>+F5*1.2</f>
        <v>18636000</v>
      </c>
      <c r="AN5" s="383">
        <f>+AP5*0.89</f>
        <v>15203870</v>
      </c>
      <c r="AO5" s="383">
        <f>+AP5-AN5</f>
        <v>1879130</v>
      </c>
      <c r="AP5" s="383">
        <f>+F5*1.1</f>
        <v>17083000</v>
      </c>
      <c r="AQ5" s="419">
        <f t="shared" ref="AQ5:AQ18" si="2">+AP5+AM5+AJ5+AG5+AD5+AA5+X5+U5+R5+O5+L5+I5</f>
        <v>184807000</v>
      </c>
    </row>
    <row r="6" spans="1:45" s="221" customFormat="1" ht="12.75">
      <c r="A6" s="386"/>
      <c r="B6" s="347" t="s">
        <v>339</v>
      </c>
      <c r="C6" s="383">
        <f>+'bevételterv 2016'!B6</f>
        <v>191812800</v>
      </c>
      <c r="D6" s="383">
        <f>+'bevételterv 2016'!C6</f>
        <v>23707200</v>
      </c>
      <c r="E6" s="383">
        <f t="shared" si="1"/>
        <v>215520000</v>
      </c>
      <c r="F6" s="418">
        <v>16350000</v>
      </c>
      <c r="G6" s="383">
        <f>+I6*0.89</f>
        <v>13096350</v>
      </c>
      <c r="H6" s="383">
        <f>+I6-G6</f>
        <v>1618650</v>
      </c>
      <c r="I6" s="384">
        <f>F6*0.9</f>
        <v>14715000</v>
      </c>
      <c r="J6" s="383">
        <f>+L6*0.89</f>
        <v>16006650</v>
      </c>
      <c r="K6" s="383">
        <f>+L6-J6</f>
        <v>1978350</v>
      </c>
      <c r="L6" s="384">
        <f t="shared" ref="L6" si="3">+F6*1.1</f>
        <v>17985000</v>
      </c>
      <c r="M6" s="383">
        <f t="shared" ref="M6:M8" si="4">+O6*0.89</f>
        <v>14551500</v>
      </c>
      <c r="N6" s="383">
        <f>+O6-M6</f>
        <v>1798500</v>
      </c>
      <c r="O6" s="383">
        <f>+F6</f>
        <v>16350000</v>
      </c>
      <c r="P6" s="383">
        <f>+R6*0.89</f>
        <v>14551500</v>
      </c>
      <c r="Q6" s="383">
        <f>+R6-P6</f>
        <v>1798500</v>
      </c>
      <c r="R6" s="383">
        <f t="shared" ref="R6:R8" si="5">+F6</f>
        <v>16350000</v>
      </c>
      <c r="S6" s="383">
        <f>+U6*0.89</f>
        <v>14551500</v>
      </c>
      <c r="T6" s="383">
        <f>+U6-S6</f>
        <v>1798500</v>
      </c>
      <c r="U6" s="383">
        <f t="shared" ref="U6:U8" si="6">+F6</f>
        <v>16350000</v>
      </c>
      <c r="V6" s="383">
        <f>+X6*0.89</f>
        <v>13096350</v>
      </c>
      <c r="W6" s="383">
        <f t="shared" ref="W6:W8" si="7">+X6-V6</f>
        <v>1618650</v>
      </c>
      <c r="X6" s="383">
        <f>+F6*0.9</f>
        <v>14715000</v>
      </c>
      <c r="Y6" s="383">
        <f t="shared" ref="Y6:Y8" si="8">+AA6*0.89</f>
        <v>11641200</v>
      </c>
      <c r="Z6" s="383">
        <f t="shared" ref="Z6:Z8" si="9">+AA6-Y6</f>
        <v>1438800</v>
      </c>
      <c r="AA6" s="383">
        <f t="shared" ref="AA6" si="10">+F6*0.8</f>
        <v>13080000</v>
      </c>
      <c r="AB6" s="383">
        <f t="shared" ref="AB6:AB8" si="11">+AD6*0.89</f>
        <v>10186050</v>
      </c>
      <c r="AC6" s="383">
        <f t="shared" ref="AC6:AC8" si="12">+AD6-AB6</f>
        <v>1258950</v>
      </c>
      <c r="AD6" s="383">
        <f t="shared" ref="AD6" si="13">+F6*0.7</f>
        <v>11445000</v>
      </c>
      <c r="AE6" s="383">
        <f t="shared" ref="AE6:AE8" si="14">+AG6*0.89</f>
        <v>16006650</v>
      </c>
      <c r="AF6" s="383">
        <f t="shared" ref="AF6:AF8" si="15">+AG6-AE6:AE7</f>
        <v>1978350</v>
      </c>
      <c r="AG6" s="383">
        <f t="shared" ref="AG6" si="16">+F6*1.1</f>
        <v>17985000</v>
      </c>
      <c r="AH6" s="383">
        <f t="shared" ref="AH6:AH7" si="17">+AJ6*0.89</f>
        <v>16006650</v>
      </c>
      <c r="AI6" s="383">
        <f t="shared" ref="AI6:AI8" si="18">+AJ6-AH6</f>
        <v>1978350</v>
      </c>
      <c r="AJ6" s="383">
        <f t="shared" ref="AJ6:AJ7" si="19">+F6*1.1</f>
        <v>17985000</v>
      </c>
      <c r="AK6" s="383">
        <f t="shared" ref="AK6:AK8" si="20">+AM6*0.89</f>
        <v>17461800</v>
      </c>
      <c r="AL6" s="383">
        <f t="shared" ref="AL6:AL8" si="21">+AM6-AK6</f>
        <v>2158200</v>
      </c>
      <c r="AM6" s="383">
        <f>+F6*1.2</f>
        <v>19620000</v>
      </c>
      <c r="AN6" s="383">
        <f t="shared" ref="AN6:AN8" si="22">+AP6*0.89</f>
        <v>16006650</v>
      </c>
      <c r="AO6" s="383">
        <f t="shared" ref="AO6:AO8" si="23">+AP6-AN6</f>
        <v>1978350</v>
      </c>
      <c r="AP6" s="383">
        <f>+F6*1.1</f>
        <v>17985000</v>
      </c>
      <c r="AQ6" s="419">
        <f t="shared" si="2"/>
        <v>194565000</v>
      </c>
    </row>
    <row r="7" spans="1:45" s="222" customFormat="1" ht="12.75">
      <c r="A7" s="386"/>
      <c r="B7" s="382" t="s">
        <v>191</v>
      </c>
      <c r="C7" s="383">
        <f>+'bevételterv 2016'!B7</f>
        <v>112140000</v>
      </c>
      <c r="D7" s="383">
        <f>+'bevételterv 2016'!C7</f>
        <v>13860000</v>
      </c>
      <c r="E7" s="383">
        <f t="shared" si="1"/>
        <v>126000000</v>
      </c>
      <c r="F7" s="417">
        <v>10500000</v>
      </c>
      <c r="G7" s="383">
        <f>+I7*0.89</f>
        <v>11214000</v>
      </c>
      <c r="H7" s="383">
        <f>+I7-G7</f>
        <v>1386000</v>
      </c>
      <c r="I7" s="345">
        <f>+F7*1.2</f>
        <v>12600000</v>
      </c>
      <c r="J7" s="383">
        <f>+L7*0.89</f>
        <v>9345000</v>
      </c>
      <c r="K7" s="383">
        <f>+L7-J7</f>
        <v>1155000</v>
      </c>
      <c r="L7" s="384">
        <f>+F7*1</f>
        <v>10500000</v>
      </c>
      <c r="M7" s="383">
        <f t="shared" si="4"/>
        <v>9345000</v>
      </c>
      <c r="N7" s="383">
        <f t="shared" ref="N7:N8" si="24">+O7-M7</f>
        <v>1155000</v>
      </c>
      <c r="O7" s="349">
        <f>+F7</f>
        <v>10500000</v>
      </c>
      <c r="P7" s="383">
        <f t="shared" ref="P7:P8" si="25">+R7*0.89</f>
        <v>9345000</v>
      </c>
      <c r="Q7" s="383">
        <f>+F7</f>
        <v>10500000</v>
      </c>
      <c r="R7" s="383">
        <f t="shared" si="5"/>
        <v>10500000</v>
      </c>
      <c r="S7" s="349"/>
      <c r="T7" s="349">
        <f>+F7</f>
        <v>10500000</v>
      </c>
      <c r="U7" s="383">
        <f t="shared" si="6"/>
        <v>10500000</v>
      </c>
      <c r="V7" s="383">
        <f t="shared" ref="V7:V8" si="26">+X7*0.89</f>
        <v>9345000</v>
      </c>
      <c r="W7" s="383">
        <f t="shared" si="7"/>
        <v>1155000</v>
      </c>
      <c r="X7" s="349">
        <f>+F7</f>
        <v>10500000</v>
      </c>
      <c r="Y7" s="383">
        <f t="shared" si="8"/>
        <v>7476000</v>
      </c>
      <c r="Z7" s="383">
        <f t="shared" si="9"/>
        <v>924000</v>
      </c>
      <c r="AA7" s="383">
        <f>+F7*0.8</f>
        <v>8400000</v>
      </c>
      <c r="AB7" s="383">
        <f t="shared" si="11"/>
        <v>6541499.9999999991</v>
      </c>
      <c r="AC7" s="383">
        <f t="shared" si="12"/>
        <v>808500</v>
      </c>
      <c r="AD7" s="383">
        <f>+F7*0.7</f>
        <v>7349999.9999999991</v>
      </c>
      <c r="AE7" s="383">
        <f t="shared" si="14"/>
        <v>7476000</v>
      </c>
      <c r="AF7" s="383">
        <f t="shared" si="15"/>
        <v>924000</v>
      </c>
      <c r="AG7" s="383">
        <f>+F7*0.8</f>
        <v>8400000</v>
      </c>
      <c r="AH7" s="383">
        <f t="shared" si="17"/>
        <v>10279500.000000002</v>
      </c>
      <c r="AI7" s="383">
        <f t="shared" si="18"/>
        <v>1270500</v>
      </c>
      <c r="AJ7" s="383">
        <f t="shared" si="19"/>
        <v>11550000.000000002</v>
      </c>
      <c r="AK7" s="383">
        <f t="shared" si="20"/>
        <v>11214000</v>
      </c>
      <c r="AL7" s="383">
        <f t="shared" si="21"/>
        <v>1386000</v>
      </c>
      <c r="AM7" s="383">
        <f>+F7*1.2</f>
        <v>12600000</v>
      </c>
      <c r="AN7" s="383">
        <f t="shared" si="22"/>
        <v>11214000</v>
      </c>
      <c r="AO7" s="383">
        <f t="shared" si="23"/>
        <v>1386000</v>
      </c>
      <c r="AP7" s="383">
        <f t="shared" ref="AP7" si="27">+F7*1.2</f>
        <v>12600000</v>
      </c>
      <c r="AQ7" s="419">
        <f t="shared" si="2"/>
        <v>126000000</v>
      </c>
    </row>
    <row r="8" spans="1:45" s="222" customFormat="1" ht="12.75">
      <c r="A8" s="386"/>
      <c r="B8" s="382" t="s">
        <v>192</v>
      </c>
      <c r="C8" s="383">
        <f>+'bevételterv 2016'!B8</f>
        <v>88302240</v>
      </c>
      <c r="D8" s="383">
        <f>+'bevételterv 2016'!C8</f>
        <v>10913760</v>
      </c>
      <c r="E8" s="383">
        <f t="shared" si="1"/>
        <v>99216000</v>
      </c>
      <c r="F8" s="417">
        <v>8268000</v>
      </c>
      <c r="G8" s="383">
        <f>+I8*0.89</f>
        <v>7358520</v>
      </c>
      <c r="H8" s="383">
        <f>+I8-G8</f>
        <v>909480</v>
      </c>
      <c r="I8" s="345">
        <f>+F8</f>
        <v>8268000</v>
      </c>
      <c r="J8" s="383">
        <f>+L8*0.89</f>
        <v>7358520</v>
      </c>
      <c r="K8" s="383">
        <f>+L8-J8</f>
        <v>909480</v>
      </c>
      <c r="L8" s="384">
        <f>+F8</f>
        <v>8268000</v>
      </c>
      <c r="M8" s="383">
        <f t="shared" si="4"/>
        <v>7358520</v>
      </c>
      <c r="N8" s="383">
        <f t="shared" si="24"/>
        <v>909480</v>
      </c>
      <c r="O8" s="349">
        <f>+F8</f>
        <v>8268000</v>
      </c>
      <c r="P8" s="383">
        <f t="shared" si="25"/>
        <v>7358520</v>
      </c>
      <c r="Q8" s="383">
        <f>+F8</f>
        <v>8268000</v>
      </c>
      <c r="R8" s="383">
        <f t="shared" si="5"/>
        <v>8268000</v>
      </c>
      <c r="S8" s="349"/>
      <c r="T8" s="349">
        <f>+F8</f>
        <v>8268000</v>
      </c>
      <c r="U8" s="383">
        <f t="shared" si="6"/>
        <v>8268000</v>
      </c>
      <c r="V8" s="383">
        <f t="shared" si="26"/>
        <v>7358520</v>
      </c>
      <c r="W8" s="383">
        <f t="shared" si="7"/>
        <v>909480</v>
      </c>
      <c r="X8" s="349">
        <f>+F8</f>
        <v>8268000</v>
      </c>
      <c r="Y8" s="383">
        <f t="shared" si="8"/>
        <v>7358520</v>
      </c>
      <c r="Z8" s="383">
        <f t="shared" si="9"/>
        <v>909480</v>
      </c>
      <c r="AA8" s="349">
        <f>+F8</f>
        <v>8268000</v>
      </c>
      <c r="AB8" s="383">
        <f t="shared" si="11"/>
        <v>7358520</v>
      </c>
      <c r="AC8" s="383">
        <f t="shared" si="12"/>
        <v>909480</v>
      </c>
      <c r="AD8" s="383">
        <f>+F8</f>
        <v>8268000</v>
      </c>
      <c r="AE8" s="383">
        <f t="shared" si="14"/>
        <v>7358520</v>
      </c>
      <c r="AF8" s="383">
        <f t="shared" si="15"/>
        <v>909480</v>
      </c>
      <c r="AG8" s="349">
        <f>+F8</f>
        <v>8268000</v>
      </c>
      <c r="AH8" s="383">
        <f>+AJ8*0.89</f>
        <v>7358520</v>
      </c>
      <c r="AI8" s="383">
        <f t="shared" si="18"/>
        <v>909480</v>
      </c>
      <c r="AJ8" s="349">
        <f>+F8</f>
        <v>8268000</v>
      </c>
      <c r="AK8" s="383">
        <f t="shared" si="20"/>
        <v>7358520</v>
      </c>
      <c r="AL8" s="383">
        <f t="shared" si="21"/>
        <v>909480</v>
      </c>
      <c r="AM8" s="349">
        <f>+AJ8</f>
        <v>8268000</v>
      </c>
      <c r="AN8" s="383">
        <f t="shared" si="22"/>
        <v>7358520</v>
      </c>
      <c r="AO8" s="383">
        <f t="shared" si="23"/>
        <v>909480</v>
      </c>
      <c r="AP8" s="349">
        <f>+AM8</f>
        <v>8268000</v>
      </c>
      <c r="AQ8" s="419">
        <f t="shared" si="2"/>
        <v>99216000</v>
      </c>
    </row>
    <row r="9" spans="1:45" s="222" customFormat="1" ht="12.75">
      <c r="A9" s="386"/>
      <c r="B9" s="382" t="s">
        <v>193</v>
      </c>
      <c r="C9" s="383">
        <f>+'bevételterv 2016'!B9</f>
        <v>0</v>
      </c>
      <c r="D9" s="383">
        <f>+'bevételterv 2016'!C9</f>
        <v>0</v>
      </c>
      <c r="E9" s="383">
        <f t="shared" si="1"/>
        <v>0</v>
      </c>
      <c r="F9" s="417">
        <v>0</v>
      </c>
      <c r="G9" s="349"/>
      <c r="H9" s="349"/>
      <c r="I9" s="345">
        <f>+F9</f>
        <v>0</v>
      </c>
      <c r="J9" s="349"/>
      <c r="K9" s="349"/>
      <c r="L9" s="345">
        <f t="shared" ref="L9" si="28">SUM(J9:K9)</f>
        <v>0</v>
      </c>
      <c r="M9" s="349"/>
      <c r="N9" s="349"/>
      <c r="O9" s="349"/>
      <c r="P9" s="349"/>
      <c r="Q9" s="349"/>
      <c r="R9" s="349"/>
      <c r="S9" s="349"/>
      <c r="T9" s="349"/>
      <c r="U9" s="349"/>
      <c r="V9" s="349"/>
      <c r="W9" s="349"/>
      <c r="X9" s="349"/>
      <c r="Y9" s="349"/>
      <c r="Z9" s="349"/>
      <c r="AA9" s="349"/>
      <c r="AB9" s="349"/>
      <c r="AC9" s="349"/>
      <c r="AD9" s="349"/>
      <c r="AE9" s="349"/>
      <c r="AF9" s="349"/>
      <c r="AG9" s="349"/>
      <c r="AH9" s="349"/>
      <c r="AI9" s="349"/>
      <c r="AJ9" s="349"/>
      <c r="AK9" s="349"/>
      <c r="AL9" s="349"/>
      <c r="AM9" s="349"/>
      <c r="AN9" s="349"/>
      <c r="AO9" s="349"/>
      <c r="AP9" s="349"/>
      <c r="AQ9" s="419">
        <f t="shared" si="2"/>
        <v>0</v>
      </c>
    </row>
    <row r="10" spans="1:45" s="222" customFormat="1" ht="12.75">
      <c r="A10" s="386"/>
      <c r="B10" s="382" t="s">
        <v>206</v>
      </c>
      <c r="C10" s="383">
        <f>+'bevételterv 2016'!B10</f>
        <v>114796696</v>
      </c>
      <c r="D10" s="383">
        <f>+'bevételterv 2016'!C10</f>
        <v>0</v>
      </c>
      <c r="E10" s="383">
        <f t="shared" si="1"/>
        <v>114796696</v>
      </c>
      <c r="F10" s="417"/>
      <c r="G10" s="349"/>
      <c r="H10" s="349"/>
      <c r="I10" s="345">
        <f>+E10*0.1</f>
        <v>11479669.600000001</v>
      </c>
      <c r="J10" s="349"/>
      <c r="K10" s="349"/>
      <c r="L10" s="345">
        <f>+E10*0.1</f>
        <v>11479669.600000001</v>
      </c>
      <c r="M10" s="349"/>
      <c r="N10" s="349"/>
      <c r="O10" s="349">
        <f>+E10*0.05</f>
        <v>5739834.8000000007</v>
      </c>
      <c r="P10" s="349"/>
      <c r="Q10" s="349"/>
      <c r="R10" s="349">
        <f>+E10*0.05</f>
        <v>5739834.8000000007</v>
      </c>
      <c r="S10" s="349"/>
      <c r="T10" s="349"/>
      <c r="U10" s="349"/>
      <c r="V10" s="349"/>
      <c r="W10" s="349"/>
      <c r="X10" s="349"/>
      <c r="Y10" s="349"/>
      <c r="Z10" s="349"/>
      <c r="AA10" s="349"/>
      <c r="AB10" s="349"/>
      <c r="AC10" s="349"/>
      <c r="AD10" s="349"/>
      <c r="AE10" s="349"/>
      <c r="AF10" s="349"/>
      <c r="AG10" s="349"/>
      <c r="AH10" s="349"/>
      <c r="AI10" s="349"/>
      <c r="AJ10" s="349">
        <f>+E10*0.4</f>
        <v>45918678.400000006</v>
      </c>
      <c r="AK10" s="349"/>
      <c r="AL10" s="349"/>
      <c r="AM10" s="349">
        <f>+E10*0.15</f>
        <v>17219504.399999999</v>
      </c>
      <c r="AN10" s="349"/>
      <c r="AO10" s="349"/>
      <c r="AP10" s="349">
        <f>+E10*0.15</f>
        <v>17219504.399999999</v>
      </c>
      <c r="AQ10" s="419">
        <f t="shared" si="2"/>
        <v>114796696</v>
      </c>
    </row>
    <row r="11" spans="1:45" s="425" customFormat="1" ht="12.75">
      <c r="A11" s="424"/>
      <c r="B11" s="350" t="s">
        <v>197</v>
      </c>
      <c r="C11" s="554">
        <f>SUM(C4,C7:C10)</f>
        <v>673916056</v>
      </c>
      <c r="D11" s="349">
        <f>SUM(D4,D7:D8)</f>
        <v>69104640</v>
      </c>
      <c r="E11" s="537">
        <f>SUM(C11:D11)</f>
        <v>743020696</v>
      </c>
      <c r="F11" s="349">
        <f>SUM(F5:F10)</f>
        <v>50648000</v>
      </c>
      <c r="G11" s="349">
        <f t="shared" ref="G11:AP11" si="29">SUM(G5:G10)</f>
        <v>44108400</v>
      </c>
      <c r="H11" s="349">
        <f t="shared" si="29"/>
        <v>5451600</v>
      </c>
      <c r="I11" s="349">
        <f t="shared" si="29"/>
        <v>61039669.600000001</v>
      </c>
      <c r="J11" s="349">
        <f t="shared" si="29"/>
        <v>47914040</v>
      </c>
      <c r="K11" s="349">
        <f t="shared" si="29"/>
        <v>5921960</v>
      </c>
      <c r="L11" s="349">
        <f t="shared" si="29"/>
        <v>65315669.600000001</v>
      </c>
      <c r="M11" s="349">
        <f t="shared" si="29"/>
        <v>45076720</v>
      </c>
      <c r="N11" s="349">
        <f t="shared" si="29"/>
        <v>5571280</v>
      </c>
      <c r="O11" s="349">
        <f t="shared" si="29"/>
        <v>56387834.799999997</v>
      </c>
      <c r="P11" s="349">
        <f t="shared" si="29"/>
        <v>45076720</v>
      </c>
      <c r="Q11" s="349">
        <f t="shared" si="29"/>
        <v>22274800</v>
      </c>
      <c r="R11" s="349">
        <f>SUM(R5:R10)</f>
        <v>56387834.799999997</v>
      </c>
      <c r="S11" s="349">
        <f t="shared" si="29"/>
        <v>28373200</v>
      </c>
      <c r="T11" s="349">
        <f t="shared" si="29"/>
        <v>22274800</v>
      </c>
      <c r="U11" s="349">
        <f t="shared" si="29"/>
        <v>50648000</v>
      </c>
      <c r="V11" s="349">
        <f t="shared" si="29"/>
        <v>42239400</v>
      </c>
      <c r="W11" s="349">
        <f t="shared" si="29"/>
        <v>5220600</v>
      </c>
      <c r="X11" s="349">
        <f t="shared" si="29"/>
        <v>47460000</v>
      </c>
      <c r="Y11" s="349">
        <f t="shared" si="29"/>
        <v>37533080</v>
      </c>
      <c r="Z11" s="349">
        <f t="shared" si="29"/>
        <v>4638920</v>
      </c>
      <c r="AA11" s="349">
        <f t="shared" si="29"/>
        <v>42172000</v>
      </c>
      <c r="AB11" s="349">
        <f t="shared" si="29"/>
        <v>33761260</v>
      </c>
      <c r="AC11" s="349">
        <f t="shared" si="29"/>
        <v>4172740</v>
      </c>
      <c r="AD11" s="349">
        <f t="shared" si="29"/>
        <v>37934000</v>
      </c>
      <c r="AE11" s="349">
        <f t="shared" si="29"/>
        <v>46045040</v>
      </c>
      <c r="AF11" s="349">
        <f t="shared" si="29"/>
        <v>5690960</v>
      </c>
      <c r="AG11" s="349">
        <f t="shared" si="29"/>
        <v>51736000</v>
      </c>
      <c r="AH11" s="349">
        <f t="shared" si="29"/>
        <v>48848540</v>
      </c>
      <c r="AI11" s="349">
        <f t="shared" si="29"/>
        <v>6037460</v>
      </c>
      <c r="AJ11" s="349">
        <f t="shared" si="29"/>
        <v>100804678.40000001</v>
      </c>
      <c r="AK11" s="349">
        <f t="shared" si="29"/>
        <v>52620360</v>
      </c>
      <c r="AL11" s="349">
        <f t="shared" si="29"/>
        <v>6503640</v>
      </c>
      <c r="AM11" s="349">
        <f t="shared" si="29"/>
        <v>76343504.400000006</v>
      </c>
      <c r="AN11" s="349">
        <f t="shared" si="29"/>
        <v>49783040</v>
      </c>
      <c r="AO11" s="349">
        <f t="shared" si="29"/>
        <v>6152960</v>
      </c>
      <c r="AP11" s="349">
        <f t="shared" si="29"/>
        <v>73155504.400000006</v>
      </c>
      <c r="AQ11" s="349">
        <f t="shared" si="2"/>
        <v>719384696.00000012</v>
      </c>
    </row>
    <row r="12" spans="1:45" s="426" customFormat="1" ht="12.75">
      <c r="A12" s="423" t="s">
        <v>354</v>
      </c>
      <c r="B12" s="352"/>
      <c r="C12" s="351" t="s">
        <v>194</v>
      </c>
      <c r="D12" s="351" t="s">
        <v>195</v>
      </c>
      <c r="E12" s="353" t="s">
        <v>394</v>
      </c>
      <c r="F12" s="352" t="s">
        <v>359</v>
      </c>
      <c r="G12" s="351" t="s">
        <v>194</v>
      </c>
      <c r="H12" s="351" t="s">
        <v>195</v>
      </c>
      <c r="I12" s="351" t="s">
        <v>196</v>
      </c>
      <c r="J12" s="351" t="s">
        <v>194</v>
      </c>
      <c r="K12" s="351" t="s">
        <v>195</v>
      </c>
      <c r="L12" s="351" t="s">
        <v>196</v>
      </c>
      <c r="M12" s="351" t="s">
        <v>194</v>
      </c>
      <c r="N12" s="351" t="s">
        <v>195</v>
      </c>
      <c r="O12" s="351" t="s">
        <v>196</v>
      </c>
      <c r="P12" s="351" t="s">
        <v>194</v>
      </c>
      <c r="Q12" s="351" t="s">
        <v>195</v>
      </c>
      <c r="R12" s="351" t="s">
        <v>196</v>
      </c>
      <c r="S12" s="351" t="s">
        <v>194</v>
      </c>
      <c r="T12" s="351" t="s">
        <v>195</v>
      </c>
      <c r="U12" s="351" t="s">
        <v>196</v>
      </c>
      <c r="V12" s="351" t="s">
        <v>194</v>
      </c>
      <c r="W12" s="351" t="s">
        <v>195</v>
      </c>
      <c r="X12" s="351" t="s">
        <v>196</v>
      </c>
      <c r="Y12" s="351" t="s">
        <v>194</v>
      </c>
      <c r="Z12" s="351" t="s">
        <v>195</v>
      </c>
      <c r="AA12" s="351" t="s">
        <v>196</v>
      </c>
      <c r="AB12" s="351" t="s">
        <v>194</v>
      </c>
      <c r="AC12" s="351" t="s">
        <v>195</v>
      </c>
      <c r="AD12" s="351" t="s">
        <v>196</v>
      </c>
      <c r="AE12" s="351" t="s">
        <v>194</v>
      </c>
      <c r="AF12" s="351" t="s">
        <v>195</v>
      </c>
      <c r="AG12" s="351" t="s">
        <v>196</v>
      </c>
      <c r="AH12" s="351" t="s">
        <v>194</v>
      </c>
      <c r="AI12" s="351" t="s">
        <v>195</v>
      </c>
      <c r="AJ12" s="351" t="s">
        <v>196</v>
      </c>
      <c r="AK12" s="351" t="s">
        <v>194</v>
      </c>
      <c r="AL12" s="351" t="s">
        <v>195</v>
      </c>
      <c r="AM12" s="351" t="s">
        <v>196</v>
      </c>
      <c r="AN12" s="351" t="s">
        <v>194</v>
      </c>
      <c r="AO12" s="351" t="s">
        <v>195</v>
      </c>
      <c r="AP12" s="351" t="s">
        <v>196</v>
      </c>
      <c r="AQ12" s="353" t="s">
        <v>332</v>
      </c>
    </row>
    <row r="13" spans="1:45" s="17" customFormat="1">
      <c r="A13" s="427">
        <v>1</v>
      </c>
      <c r="B13" s="68" t="s">
        <v>21</v>
      </c>
      <c r="C13" s="383">
        <f>E13-D13</f>
        <v>261178408.80000001</v>
      </c>
      <c r="D13" s="383">
        <f>E13*7.48%</f>
        <v>21115591.200000003</v>
      </c>
      <c r="E13" s="517">
        <f>SUM('2016 ktgterv_teljes parkolás'!P6)</f>
        <v>282294000</v>
      </c>
      <c r="F13" s="422">
        <v>7.4800000000000005E-2</v>
      </c>
      <c r="G13" s="428">
        <f>+I13-H13</f>
        <v>19875146.399999999</v>
      </c>
      <c r="H13" s="428">
        <f>+I13*$F$13</f>
        <v>1606853.6</v>
      </c>
      <c r="I13" s="428">
        <f>+'2016 ktgterv_teljes parkolás'!D6</f>
        <v>21482000</v>
      </c>
      <c r="J13" s="428">
        <f>+L13-K13</f>
        <v>19875146.399999999</v>
      </c>
      <c r="K13" s="428">
        <f>+L13*$F$13</f>
        <v>1606853.6</v>
      </c>
      <c r="L13" s="428">
        <f>+'2016 ktgterv_teljes parkolás'!E6</f>
        <v>21482000</v>
      </c>
      <c r="M13" s="428">
        <f>+O13-N13</f>
        <v>21709355.399999999</v>
      </c>
      <c r="N13" s="428">
        <f>+O13*$F$13</f>
        <v>1755144.6</v>
      </c>
      <c r="O13" s="428">
        <f>+'2016 ktgterv_teljes parkolás'!F6</f>
        <v>23464500</v>
      </c>
      <c r="P13" s="428">
        <f>+R13-Q13</f>
        <v>19836750.600000001</v>
      </c>
      <c r="Q13" s="428">
        <f>+R13*$F$13</f>
        <v>1603749.4000000001</v>
      </c>
      <c r="R13" s="429">
        <f>+'2016 ktgterv_teljes parkolás'!G6</f>
        <v>21440500</v>
      </c>
      <c r="S13" s="428">
        <f>+U13-T13</f>
        <v>19836750.600000001</v>
      </c>
      <c r="T13" s="428">
        <f>+U13*$F$13</f>
        <v>1603749.4000000001</v>
      </c>
      <c r="U13" s="429">
        <f>+'2016 ktgterv_teljes parkolás'!H6</f>
        <v>21440500</v>
      </c>
      <c r="V13" s="428">
        <f>+X13-W13</f>
        <v>21504423.600000001</v>
      </c>
      <c r="W13" s="428">
        <f>+X13*$F$13</f>
        <v>1738576.4000000001</v>
      </c>
      <c r="X13" s="429">
        <f>+'2016 ktgterv_teljes parkolás'!I6</f>
        <v>23243000</v>
      </c>
      <c r="Y13" s="428">
        <f>+AA13-Z13</f>
        <v>19855254.600000001</v>
      </c>
      <c r="Z13" s="428">
        <f>+AA13*$F$13</f>
        <v>1605245.4000000001</v>
      </c>
      <c r="AA13" s="429">
        <f>+'2016 ktgterv_teljes parkolás'!J6</f>
        <v>21460500</v>
      </c>
      <c r="AB13" s="428">
        <f>+AD13-AC13</f>
        <v>19855254.600000001</v>
      </c>
      <c r="AC13" s="428">
        <f>+AD13*$F$13</f>
        <v>1605245.4000000001</v>
      </c>
      <c r="AD13" s="429">
        <f>+'2016 ktgterv_teljes parkolás'!K6</f>
        <v>21460500</v>
      </c>
      <c r="AE13" s="428">
        <f>+AG13-AF13</f>
        <v>21670959.600000001</v>
      </c>
      <c r="AF13" s="428">
        <f>+AG13*$F$13</f>
        <v>1752040.4000000001</v>
      </c>
      <c r="AG13" s="429">
        <f>+'2016 ktgterv_teljes parkolás'!L6</f>
        <v>23423000</v>
      </c>
      <c r="AH13" s="428">
        <f>+AJ13-AI13</f>
        <v>19836750.600000001</v>
      </c>
      <c r="AI13" s="428">
        <f>+AJ13*$F$13</f>
        <v>1603749.4000000001</v>
      </c>
      <c r="AJ13" s="429">
        <f>+'2016 ktgterv_teljes parkolás'!M6</f>
        <v>21440500</v>
      </c>
      <c r="AK13" s="428">
        <f>+AM13-AL13</f>
        <v>19875146.399999999</v>
      </c>
      <c r="AL13" s="428">
        <f>+AM13*$F$13</f>
        <v>1606853.6</v>
      </c>
      <c r="AM13" s="429">
        <f>+'2016 ktgterv_teljes parkolás'!N6</f>
        <v>21482000</v>
      </c>
      <c r="AN13" s="428">
        <f>+AP13-AO13</f>
        <v>37447470</v>
      </c>
      <c r="AO13" s="428">
        <f>+AP13*$F$13</f>
        <v>3027530</v>
      </c>
      <c r="AP13" s="429">
        <f>+'2016 ktgterv_teljes parkolás'!O6</f>
        <v>40475000</v>
      </c>
      <c r="AQ13" s="349">
        <f t="shared" si="2"/>
        <v>282294000</v>
      </c>
      <c r="AS13" s="547"/>
    </row>
    <row r="14" spans="1:45" s="17" customFormat="1">
      <c r="A14" s="427">
        <v>2</v>
      </c>
      <c r="B14" s="68" t="s">
        <v>200</v>
      </c>
      <c r="C14" s="383">
        <f>342047969/1.27</f>
        <v>269329109.44881892</v>
      </c>
      <c r="D14" s="383">
        <f>27653684/1.27</f>
        <v>21774554.33070866</v>
      </c>
      <c r="E14" s="517">
        <f>SUM('2016 ktgterv_teljes parkolás'!P17)</f>
        <v>291103664</v>
      </c>
      <c r="F14" s="358"/>
      <c r="G14" s="428">
        <f t="shared" ref="G14:G17" si="30">+I14-H14</f>
        <v>32209040.861066673</v>
      </c>
      <c r="H14" s="428">
        <f>+(I14-'2016 ktgterv_teljes parkolás'!D19)*$F$13</f>
        <v>1951847.8056000003</v>
      </c>
      <c r="I14" s="428">
        <f>+'2016 ktgterv_teljes parkolás'!D17</f>
        <v>34160888.666666672</v>
      </c>
      <c r="J14" s="428">
        <f t="shared" ref="J14:J15" si="31">+L14-K14</f>
        <v>22164144.461066667</v>
      </c>
      <c r="K14" s="428">
        <f>+(L14-'2016 ktgterv_teljes parkolás'!E19)*$F$13</f>
        <v>1139744.2056</v>
      </c>
      <c r="L14" s="428">
        <f>+'2016 ktgterv_teljes parkolás'!E17</f>
        <v>23303888.666666668</v>
      </c>
      <c r="M14" s="428">
        <f t="shared" ref="M14:M17" si="32">+O14-N14</f>
        <v>22164144.461066667</v>
      </c>
      <c r="N14" s="428">
        <f>+(O14-'2016 ktgterv_teljes parkolás'!F19)*$F$13</f>
        <v>1139744.2056</v>
      </c>
      <c r="O14" s="428">
        <f>+'2016 ktgterv_teljes parkolás'!F17</f>
        <v>23303888.666666668</v>
      </c>
      <c r="P14" s="428">
        <f t="shared" ref="P14:P17" si="33">+R14-Q14</f>
        <v>22719264.461066667</v>
      </c>
      <c r="Q14" s="428">
        <f>+(R14-'2016 ktgterv_teljes parkolás'!G19)*$F$13</f>
        <v>1184624.2056</v>
      </c>
      <c r="R14" s="429">
        <f>+'2016 ktgterv_teljes parkolás'!G17</f>
        <v>23903888.666666668</v>
      </c>
      <c r="S14" s="428">
        <f t="shared" ref="S14:S15" si="34">+U14-T14</f>
        <v>22164144.461066667</v>
      </c>
      <c r="T14" s="428">
        <f>+(U14-'2016 ktgterv_teljes parkolás'!H19)*$F$13</f>
        <v>1139744.2056</v>
      </c>
      <c r="U14" s="429">
        <f>+'2016 ktgterv_teljes parkolás'!H17</f>
        <v>23303888.666666668</v>
      </c>
      <c r="V14" s="428">
        <f t="shared" ref="V14:V17" si="35">+X14-W14</f>
        <v>22164144.461066667</v>
      </c>
      <c r="W14" s="428">
        <f>+(X14-'2016 ktgterv_teljes parkolás'!I19)*$F$13</f>
        <v>1139744.2056</v>
      </c>
      <c r="X14" s="429">
        <f>+'2016 ktgterv_teljes parkolás'!I17</f>
        <v>23303888.666666668</v>
      </c>
      <c r="Y14" s="428">
        <f t="shared" ref="Y14:Y15" si="36">+AA14-Z14</f>
        <v>22164144.461066667</v>
      </c>
      <c r="Z14" s="428">
        <f>+(AA14-'2016 ktgterv_teljes parkolás'!J19)*$F$13</f>
        <v>1139744.2056</v>
      </c>
      <c r="AA14" s="429">
        <f>+'2016 ktgterv_teljes parkolás'!J17</f>
        <v>23303888.666666668</v>
      </c>
      <c r="AB14" s="428">
        <f t="shared" ref="AB14:AB15" si="37">+AD14-AC14</f>
        <v>22164144.461066667</v>
      </c>
      <c r="AC14" s="428">
        <f>+(AD14-'2016 ktgterv_teljes parkolás'!K19)*$F$13</f>
        <v>1139744.2056</v>
      </c>
      <c r="AD14" s="429">
        <f>+'2016 ktgterv_teljes parkolás'!K17</f>
        <v>23303888.666666668</v>
      </c>
      <c r="AE14" s="428">
        <f t="shared" ref="AE14:AE15" si="38">+AG14-AF14</f>
        <v>22164144.461066667</v>
      </c>
      <c r="AF14" s="428">
        <f>+(AG14-'2016 ktgterv_teljes parkolás'!L19)*$F$13</f>
        <v>1139744.2056</v>
      </c>
      <c r="AG14" s="429">
        <f>+'2016 ktgterv_teljes parkolás'!L17</f>
        <v>23303888.666666668</v>
      </c>
      <c r="AH14" s="428">
        <f t="shared" ref="AH14:AH15" si="39">+AJ14-AI14</f>
        <v>22164144.461066667</v>
      </c>
      <c r="AI14" s="428">
        <f>+(AJ14-'2016 ktgterv_teljes parkolás'!M19)*$F$13</f>
        <v>1139744.2056</v>
      </c>
      <c r="AJ14" s="429">
        <f>+'2016 ktgterv_teljes parkolás'!M17</f>
        <v>23303888.666666668</v>
      </c>
      <c r="AK14" s="428">
        <f t="shared" ref="AK14:AK15" si="40">+AM14-AL14</f>
        <v>22164144.461066667</v>
      </c>
      <c r="AL14" s="428">
        <f>+(AM14-'2016 ktgterv_teljes parkolás'!N19)*$F$13</f>
        <v>1139744.2056</v>
      </c>
      <c r="AM14" s="429">
        <f>+'2016 ktgterv_teljes parkolás'!N17</f>
        <v>23303888.666666668</v>
      </c>
      <c r="AN14" s="428">
        <f t="shared" ref="AN14:AN15" si="41">+AP14-AO14</f>
        <v>22164144.461066667</v>
      </c>
      <c r="AO14" s="428">
        <f>+(AP14-'2016 ktgterv_teljes parkolás'!O19)*$F$13</f>
        <v>1139744.2056</v>
      </c>
      <c r="AP14" s="429">
        <f>+'2016 ktgterv_teljes parkolás'!O17</f>
        <v>23303888.666666668</v>
      </c>
      <c r="AQ14" s="349">
        <f t="shared" si="2"/>
        <v>291103663.99999994</v>
      </c>
      <c r="AS14" s="547"/>
    </row>
    <row r="15" spans="1:45" s="17" customFormat="1">
      <c r="A15" s="427">
        <v>3</v>
      </c>
      <c r="B15" s="358" t="s">
        <v>51</v>
      </c>
      <c r="C15" s="383">
        <f>SUM(ÁFA!C13)</f>
        <v>117553946.8752</v>
      </c>
      <c r="D15" s="383">
        <f>SUM(ÁFA!D13)</f>
        <v>9503929.1248000003</v>
      </c>
      <c r="E15" s="517">
        <f>SUM('2016 ktgterv_teljes parkolás'!P28)</f>
        <v>127057876</v>
      </c>
      <c r="F15" s="358"/>
      <c r="G15" s="428">
        <f t="shared" si="30"/>
        <v>13820782.239600001</v>
      </c>
      <c r="H15" s="428">
        <f>+I15*$F$13</f>
        <v>1117374.0937333335</v>
      </c>
      <c r="I15" s="428">
        <f>+'2016 ktgterv_teljes parkolás'!D28</f>
        <v>14938156.333333334</v>
      </c>
      <c r="J15" s="428">
        <f t="shared" si="31"/>
        <v>12963149.875963636</v>
      </c>
      <c r="K15" s="428">
        <f>+L15*$F$13</f>
        <v>1048036.7604000001</v>
      </c>
      <c r="L15" s="428">
        <f>+'2016 ktgterv_teljes parkolás'!E28</f>
        <v>14011186.636363637</v>
      </c>
      <c r="M15" s="428">
        <f t="shared" si="32"/>
        <v>13286969.875963636</v>
      </c>
      <c r="N15" s="428">
        <f>+O15*$F$13</f>
        <v>1074216.7604</v>
      </c>
      <c r="O15" s="428">
        <f>+'2016 ktgterv_teljes parkolás'!F28</f>
        <v>14361186.636363637</v>
      </c>
      <c r="P15" s="428">
        <f t="shared" si="33"/>
        <v>11667869.875963636</v>
      </c>
      <c r="Q15" s="428">
        <f>+R15*$F$13</f>
        <v>943316.76040000014</v>
      </c>
      <c r="R15" s="429">
        <f>+'2016 ktgterv_teljes parkolás'!G28</f>
        <v>12611186.636363637</v>
      </c>
      <c r="S15" s="428">
        <f t="shared" si="34"/>
        <v>8858345.8759636357</v>
      </c>
      <c r="T15" s="428">
        <f>+U15*$F$13</f>
        <v>716174.09373333328</v>
      </c>
      <c r="U15" s="429">
        <f>+'2016 ktgterv_teljes parkolás'!H28</f>
        <v>9574519.9696969688</v>
      </c>
      <c r="V15" s="428">
        <f t="shared" si="35"/>
        <v>7967069.8759636367</v>
      </c>
      <c r="W15" s="428">
        <f>+X15*$F$13</f>
        <v>644116.76040000003</v>
      </c>
      <c r="X15" s="429">
        <f>+'2016 ktgterv_teljes parkolás'!I28</f>
        <v>8611186.6363636367</v>
      </c>
      <c r="Y15" s="428">
        <f t="shared" si="36"/>
        <v>8290889.8759636367</v>
      </c>
      <c r="Z15" s="428">
        <f>+AA15*$F$13</f>
        <v>670296.76040000003</v>
      </c>
      <c r="AA15" s="429">
        <f>+'2016 ktgterv_teljes parkolás'!J28</f>
        <v>8961186.6363636367</v>
      </c>
      <c r="AB15" s="428">
        <f t="shared" si="37"/>
        <v>7967069.8759636367</v>
      </c>
      <c r="AC15" s="428">
        <f>+AD15*$F$13</f>
        <v>644116.76040000003</v>
      </c>
      <c r="AD15" s="429">
        <f>+'2016 ktgterv_teljes parkolás'!K28</f>
        <v>8611186.6363636367</v>
      </c>
      <c r="AE15" s="428">
        <f t="shared" si="38"/>
        <v>8506769.8759636357</v>
      </c>
      <c r="AF15" s="428">
        <f>+AG15*$F$13</f>
        <v>687750.09373333328</v>
      </c>
      <c r="AG15" s="429">
        <f>+'2016 ktgterv_teljes parkolás'!L28</f>
        <v>9194519.9696969688</v>
      </c>
      <c r="AH15" s="428">
        <f t="shared" si="39"/>
        <v>11667869.875963636</v>
      </c>
      <c r="AI15" s="428">
        <f>+AJ15*$F$13</f>
        <v>943316.76040000014</v>
      </c>
      <c r="AJ15" s="429">
        <f>+'2016 ktgterv_teljes parkolás'!M28</f>
        <v>12611186.636363637</v>
      </c>
      <c r="AK15" s="428">
        <f t="shared" si="40"/>
        <v>11991689.875963636</v>
      </c>
      <c r="AL15" s="428">
        <f>+AM15*$F$13</f>
        <v>969496.76040000014</v>
      </c>
      <c r="AM15" s="429">
        <f>+'2016 ktgterv_teljes parkolás'!N28</f>
        <v>12961186.636363637</v>
      </c>
      <c r="AN15" s="428">
        <f t="shared" si="41"/>
        <v>11667869.875963636</v>
      </c>
      <c r="AO15" s="428">
        <f>+AP15*$F$13</f>
        <v>943316.76040000014</v>
      </c>
      <c r="AP15" s="429">
        <f>+'2016 ktgterv_teljes parkolás'!O28</f>
        <v>12611186.636363637</v>
      </c>
      <c r="AQ15" s="349">
        <f t="shared" si="2"/>
        <v>139057876.00000003</v>
      </c>
      <c r="AS15" s="547"/>
    </row>
    <row r="16" spans="1:45" s="17" customFormat="1">
      <c r="A16" s="430" t="s">
        <v>145</v>
      </c>
      <c r="B16" s="357" t="s">
        <v>355</v>
      </c>
      <c r="C16" s="349">
        <f>SUM(C13:C15)</f>
        <v>648061465.12401891</v>
      </c>
      <c r="D16" s="349">
        <f>SUM(D13:D15)</f>
        <v>52394074.655508667</v>
      </c>
      <c r="E16" s="349">
        <f>SUM(E13:E15)</f>
        <v>700455540</v>
      </c>
      <c r="F16" s="383">
        <f t="shared" ref="F16:AP16" si="42">SUM(F13:F15)</f>
        <v>7.4800000000000005E-2</v>
      </c>
      <c r="G16" s="383">
        <f t="shared" si="42"/>
        <v>65904969.500666678</v>
      </c>
      <c r="H16" s="383">
        <f t="shared" si="42"/>
        <v>4676075.4993333332</v>
      </c>
      <c r="I16" s="383">
        <f t="shared" si="42"/>
        <v>70581045</v>
      </c>
      <c r="J16" s="383">
        <f t="shared" si="42"/>
        <v>55002440.737030305</v>
      </c>
      <c r="K16" s="383">
        <f t="shared" si="42"/>
        <v>3794634.5660000001</v>
      </c>
      <c r="L16" s="383">
        <f t="shared" si="42"/>
        <v>58797075.303030312</v>
      </c>
      <c r="M16" s="383">
        <f t="shared" si="42"/>
        <v>57160469.737030305</v>
      </c>
      <c r="N16" s="383">
        <f t="shared" si="42"/>
        <v>3969105.5660000001</v>
      </c>
      <c r="O16" s="383">
        <f t="shared" si="42"/>
        <v>61129575.303030312</v>
      </c>
      <c r="P16" s="383">
        <f t="shared" si="42"/>
        <v>54223884.937030308</v>
      </c>
      <c r="Q16" s="383">
        <f t="shared" si="42"/>
        <v>3731690.3660000004</v>
      </c>
      <c r="R16" s="383">
        <f t="shared" si="42"/>
        <v>57955575.303030312</v>
      </c>
      <c r="S16" s="383">
        <f>SUM(S13:S15)</f>
        <v>50859240.937030308</v>
      </c>
      <c r="T16" s="383">
        <f t="shared" si="42"/>
        <v>3459667.6993333334</v>
      </c>
      <c r="U16" s="383">
        <f t="shared" si="42"/>
        <v>54318908.63636364</v>
      </c>
      <c r="V16" s="383">
        <f t="shared" si="42"/>
        <v>51635637.937030308</v>
      </c>
      <c r="W16" s="383">
        <f t="shared" si="42"/>
        <v>3522437.3660000004</v>
      </c>
      <c r="X16" s="383">
        <f t="shared" si="42"/>
        <v>55158075.303030312</v>
      </c>
      <c r="Y16" s="383">
        <f t="shared" si="42"/>
        <v>50310288.937030308</v>
      </c>
      <c r="Z16" s="383">
        <f t="shared" si="42"/>
        <v>3415286.3660000004</v>
      </c>
      <c r="AA16" s="383">
        <f t="shared" si="42"/>
        <v>53725575.303030312</v>
      </c>
      <c r="AB16" s="383">
        <f t="shared" si="42"/>
        <v>49986468.937030308</v>
      </c>
      <c r="AC16" s="383">
        <f t="shared" si="42"/>
        <v>3389106.3660000004</v>
      </c>
      <c r="AD16" s="383">
        <f t="shared" si="42"/>
        <v>53375575.303030312</v>
      </c>
      <c r="AE16" s="383">
        <f t="shared" si="42"/>
        <v>52341873.937030308</v>
      </c>
      <c r="AF16" s="383">
        <f t="shared" si="42"/>
        <v>3579534.6993333334</v>
      </c>
      <c r="AG16" s="383">
        <f t="shared" si="42"/>
        <v>55921408.63636364</v>
      </c>
      <c r="AH16" s="383">
        <f t="shared" si="42"/>
        <v>53668764.937030308</v>
      </c>
      <c r="AI16" s="383">
        <f t="shared" si="42"/>
        <v>3686810.3660000004</v>
      </c>
      <c r="AJ16" s="383">
        <f t="shared" si="42"/>
        <v>57355575.303030312</v>
      </c>
      <c r="AK16" s="383">
        <f t="shared" si="42"/>
        <v>54030980.737030305</v>
      </c>
      <c r="AL16" s="383">
        <f t="shared" si="42"/>
        <v>3716094.5660000001</v>
      </c>
      <c r="AM16" s="383">
        <f t="shared" si="42"/>
        <v>57747075.303030312</v>
      </c>
      <c r="AN16" s="383">
        <f t="shared" si="42"/>
        <v>71279484.337030292</v>
      </c>
      <c r="AO16" s="383">
        <f t="shared" si="42"/>
        <v>5110590.966</v>
      </c>
      <c r="AP16" s="383">
        <f t="shared" si="42"/>
        <v>76390075.303030312</v>
      </c>
      <c r="AQ16" s="349">
        <f t="shared" si="2"/>
        <v>712455540</v>
      </c>
      <c r="AS16" s="548"/>
    </row>
    <row r="17" spans="1:45" s="17" customFormat="1">
      <c r="A17" s="427">
        <v>5</v>
      </c>
      <c r="B17" s="68" t="s">
        <v>350</v>
      </c>
      <c r="C17" s="383">
        <f>+E17</f>
        <v>20350000</v>
      </c>
      <c r="D17" s="384" t="s">
        <v>159</v>
      </c>
      <c r="E17" s="517">
        <f>+'2016 ktgterv_teljes parkolás'!P52</f>
        <v>20350000</v>
      </c>
      <c r="F17" s="358"/>
      <c r="G17" s="428">
        <f t="shared" si="30"/>
        <v>0</v>
      </c>
      <c r="H17" s="428">
        <f>+I17*$F$13</f>
        <v>0</v>
      </c>
      <c r="I17" s="428">
        <f>+'2016 ktgterv_teljes parkolás'!D52</f>
        <v>0</v>
      </c>
      <c r="J17" s="428">
        <f t="shared" ref="J17" si="43">+L17-K17</f>
        <v>0</v>
      </c>
      <c r="K17" s="428">
        <f>+L17*$F$13</f>
        <v>0</v>
      </c>
      <c r="L17" s="428">
        <f>+'2016 ktgterv_teljes parkolás'!E52</f>
        <v>0</v>
      </c>
      <c r="M17" s="428">
        <f t="shared" si="32"/>
        <v>9483300</v>
      </c>
      <c r="N17" s="428">
        <f>+O17*$F$13</f>
        <v>766700</v>
      </c>
      <c r="O17" s="428">
        <f>+'2016 ktgterv_teljes parkolás'!F52</f>
        <v>10250000</v>
      </c>
      <c r="P17" s="428">
        <f t="shared" si="33"/>
        <v>2405520</v>
      </c>
      <c r="Q17" s="428">
        <f>+R17*$F$13</f>
        <v>194480</v>
      </c>
      <c r="R17" s="428">
        <f>+'2016 ktgterv_teljes parkolás'!G52</f>
        <v>2600000</v>
      </c>
      <c r="S17" s="428">
        <f>+U17-T17</f>
        <v>0</v>
      </c>
      <c r="T17" s="428">
        <f>+U17*$F$13</f>
        <v>0</v>
      </c>
      <c r="U17" s="428">
        <f>+'2016 ktgterv_teljes parkolás'!H52</f>
        <v>0</v>
      </c>
      <c r="V17" s="428">
        <f t="shared" si="35"/>
        <v>0</v>
      </c>
      <c r="W17" s="428">
        <f>+X17*$F$13</f>
        <v>0</v>
      </c>
      <c r="X17" s="428">
        <f>+'2016 ktgterv_teljes parkolás'!I52</f>
        <v>0</v>
      </c>
      <c r="Y17" s="428">
        <f>+AA17-Z17</f>
        <v>0</v>
      </c>
      <c r="Z17" s="428">
        <f>+AA17*$F$13</f>
        <v>0</v>
      </c>
      <c r="AA17" s="428">
        <f>+'2016 ktgterv_teljes parkolás'!J52</f>
        <v>0</v>
      </c>
      <c r="AB17" s="428">
        <f>+AD17-AC17</f>
        <v>6939000</v>
      </c>
      <c r="AC17" s="428">
        <f>+AD17*$F$13</f>
        <v>561000</v>
      </c>
      <c r="AD17" s="428">
        <f>+'2016 ktgterv_teljes parkolás'!K52</f>
        <v>7500000</v>
      </c>
      <c r="AE17" s="428">
        <f>+AG17-AF17</f>
        <v>0</v>
      </c>
      <c r="AF17" s="428">
        <f>+AG17*$F$13</f>
        <v>0</v>
      </c>
      <c r="AG17" s="428">
        <f>+'2016 ktgterv_teljes parkolás'!L52</f>
        <v>0</v>
      </c>
      <c r="AH17" s="428">
        <f>+AJ17-AI17</f>
        <v>0</v>
      </c>
      <c r="AI17" s="428">
        <f>+AJ17*$F$13</f>
        <v>0</v>
      </c>
      <c r="AJ17" s="428">
        <f>+'2016 ktgterv_teljes parkolás'!M52</f>
        <v>0</v>
      </c>
      <c r="AK17" s="428">
        <f>+AM17-AL17</f>
        <v>0</v>
      </c>
      <c r="AL17" s="428">
        <f>+AM17*$F$13</f>
        <v>0</v>
      </c>
      <c r="AM17" s="428">
        <f>+'2016 ktgterv_teljes parkolás'!N52</f>
        <v>0</v>
      </c>
      <c r="AN17" s="428">
        <f>+AP17-AO17</f>
        <v>0</v>
      </c>
      <c r="AO17" s="428">
        <f>+AP17*$F$13</f>
        <v>0</v>
      </c>
      <c r="AP17" s="428">
        <f>+'2016 ktgterv_teljes parkolás'!O52</f>
        <v>0</v>
      </c>
      <c r="AQ17" s="349">
        <f t="shared" si="2"/>
        <v>20350000</v>
      </c>
      <c r="AS17" s="547"/>
    </row>
    <row r="18" spans="1:45" s="17" customFormat="1">
      <c r="A18" s="430"/>
      <c r="B18" s="545" t="s">
        <v>357</v>
      </c>
      <c r="C18" s="349">
        <f>SUM(C16:C17)</f>
        <v>668411465.12401891</v>
      </c>
      <c r="D18" s="349">
        <f>SUM(D16:D17)</f>
        <v>52394074.655508667</v>
      </c>
      <c r="E18" s="537">
        <f>+E17+E16</f>
        <v>720805540</v>
      </c>
      <c r="F18" s="383">
        <f t="shared" ref="F18:AP18" si="44">+F17+F16</f>
        <v>7.4800000000000005E-2</v>
      </c>
      <c r="G18" s="383">
        <f t="shared" si="44"/>
        <v>65904969.500666678</v>
      </c>
      <c r="H18" s="383">
        <f t="shared" si="44"/>
        <v>4676075.4993333332</v>
      </c>
      <c r="I18" s="383">
        <f t="shared" si="44"/>
        <v>70581045</v>
      </c>
      <c r="J18" s="383">
        <f t="shared" si="44"/>
        <v>55002440.737030305</v>
      </c>
      <c r="K18" s="383">
        <f t="shared" si="44"/>
        <v>3794634.5660000001</v>
      </c>
      <c r="L18" s="383">
        <f t="shared" si="44"/>
        <v>58797075.303030312</v>
      </c>
      <c r="M18" s="383">
        <f t="shared" si="44"/>
        <v>66643769.737030305</v>
      </c>
      <c r="N18" s="383">
        <f t="shared" si="44"/>
        <v>4735805.5659999996</v>
      </c>
      <c r="O18" s="383">
        <f t="shared" si="44"/>
        <v>71379575.303030312</v>
      </c>
      <c r="P18" s="383">
        <f t="shared" si="44"/>
        <v>56629404.937030308</v>
      </c>
      <c r="Q18" s="383">
        <f t="shared" si="44"/>
        <v>3926170.3660000004</v>
      </c>
      <c r="R18" s="383">
        <f t="shared" si="44"/>
        <v>60555575.303030312</v>
      </c>
      <c r="S18" s="383">
        <f t="shared" si="44"/>
        <v>50859240.937030308</v>
      </c>
      <c r="T18" s="383">
        <f t="shared" si="44"/>
        <v>3459667.6993333334</v>
      </c>
      <c r="U18" s="383">
        <f t="shared" si="44"/>
        <v>54318908.63636364</v>
      </c>
      <c r="V18" s="383">
        <f t="shared" si="44"/>
        <v>51635637.937030308</v>
      </c>
      <c r="W18" s="383">
        <f t="shared" si="44"/>
        <v>3522437.3660000004</v>
      </c>
      <c r="X18" s="383">
        <f t="shared" si="44"/>
        <v>55158075.303030312</v>
      </c>
      <c r="Y18" s="383">
        <f t="shared" si="44"/>
        <v>50310288.937030308</v>
      </c>
      <c r="Z18" s="383">
        <f t="shared" si="44"/>
        <v>3415286.3660000004</v>
      </c>
      <c r="AA18" s="383">
        <f t="shared" si="44"/>
        <v>53725575.303030312</v>
      </c>
      <c r="AB18" s="383">
        <f t="shared" si="44"/>
        <v>56925468.937030308</v>
      </c>
      <c r="AC18" s="383">
        <f t="shared" si="44"/>
        <v>3950106.3660000004</v>
      </c>
      <c r="AD18" s="383">
        <f t="shared" si="44"/>
        <v>60875575.303030312</v>
      </c>
      <c r="AE18" s="383">
        <f t="shared" si="44"/>
        <v>52341873.937030308</v>
      </c>
      <c r="AF18" s="383">
        <f t="shared" si="44"/>
        <v>3579534.6993333334</v>
      </c>
      <c r="AG18" s="383">
        <f t="shared" si="44"/>
        <v>55921408.63636364</v>
      </c>
      <c r="AH18" s="383">
        <f t="shared" si="44"/>
        <v>53668764.937030308</v>
      </c>
      <c r="AI18" s="383">
        <f t="shared" si="44"/>
        <v>3686810.3660000004</v>
      </c>
      <c r="AJ18" s="383">
        <f t="shared" si="44"/>
        <v>57355575.303030312</v>
      </c>
      <c r="AK18" s="383">
        <f t="shared" si="44"/>
        <v>54030980.737030305</v>
      </c>
      <c r="AL18" s="383">
        <f t="shared" si="44"/>
        <v>3716094.5660000001</v>
      </c>
      <c r="AM18" s="383">
        <f t="shared" si="44"/>
        <v>57747075.303030312</v>
      </c>
      <c r="AN18" s="383">
        <f t="shared" si="44"/>
        <v>71279484.337030292</v>
      </c>
      <c r="AO18" s="383">
        <f t="shared" si="44"/>
        <v>5110590.966</v>
      </c>
      <c r="AP18" s="383">
        <f t="shared" si="44"/>
        <v>76390075.303030312</v>
      </c>
      <c r="AQ18" s="349">
        <f t="shared" si="2"/>
        <v>732805540</v>
      </c>
      <c r="AS18" s="547"/>
    </row>
    <row r="19" spans="1:45" s="17" customFormat="1">
      <c r="A19" s="434" t="s">
        <v>356</v>
      </c>
      <c r="B19" s="435" t="s">
        <v>363</v>
      </c>
      <c r="C19" s="529">
        <f>+C11-C18</f>
        <v>5504590.8759810925</v>
      </c>
      <c r="D19" s="529">
        <f>+D11-D18</f>
        <v>16710565.344491333</v>
      </c>
      <c r="E19" s="529">
        <f>+E11-E18</f>
        <v>22215156</v>
      </c>
      <c r="F19" s="436">
        <f t="shared" ref="F19:AQ19" si="45">+F11-F18</f>
        <v>50647999.9252</v>
      </c>
      <c r="G19" s="436">
        <f t="shared" si="45"/>
        <v>-21796569.500666678</v>
      </c>
      <c r="H19" s="436">
        <f t="shared" si="45"/>
        <v>775524.50066666678</v>
      </c>
      <c r="I19" s="436">
        <f t="shared" si="45"/>
        <v>-9541375.3999999985</v>
      </c>
      <c r="J19" s="436">
        <f t="shared" si="45"/>
        <v>-7088400.737030305</v>
      </c>
      <c r="K19" s="436">
        <f t="shared" si="45"/>
        <v>2127325.4339999999</v>
      </c>
      <c r="L19" s="436">
        <f t="shared" si="45"/>
        <v>6518594.2969696894</v>
      </c>
      <c r="M19" s="436">
        <f t="shared" si="45"/>
        <v>-21567049.737030305</v>
      </c>
      <c r="N19" s="436">
        <f t="shared" si="45"/>
        <v>835474.43400000036</v>
      </c>
      <c r="O19" s="436">
        <f t="shared" si="45"/>
        <v>-14991740.503030315</v>
      </c>
      <c r="P19" s="436">
        <f t="shared" si="45"/>
        <v>-11552684.937030308</v>
      </c>
      <c r="Q19" s="436">
        <f t="shared" si="45"/>
        <v>18348629.634</v>
      </c>
      <c r="R19" s="436">
        <f t="shared" si="45"/>
        <v>-4167740.503030315</v>
      </c>
      <c r="S19" s="436">
        <f t="shared" si="45"/>
        <v>-22486040.937030308</v>
      </c>
      <c r="T19" s="436">
        <f t="shared" si="45"/>
        <v>18815132.300666668</v>
      </c>
      <c r="U19" s="436">
        <f t="shared" si="45"/>
        <v>-3670908.6363636404</v>
      </c>
      <c r="V19" s="436">
        <f t="shared" si="45"/>
        <v>-9396237.9370303079</v>
      </c>
      <c r="W19" s="436">
        <f t="shared" si="45"/>
        <v>1698162.6339999996</v>
      </c>
      <c r="X19" s="436">
        <f t="shared" si="45"/>
        <v>-7698075.3030303121</v>
      </c>
      <c r="Y19" s="436">
        <f t="shared" si="45"/>
        <v>-12777208.937030308</v>
      </c>
      <c r="Z19" s="436">
        <f t="shared" si="45"/>
        <v>1223633.6339999996</v>
      </c>
      <c r="AA19" s="436">
        <f t="shared" si="45"/>
        <v>-11553575.303030312</v>
      </c>
      <c r="AB19" s="436">
        <f t="shared" si="45"/>
        <v>-23164208.937030308</v>
      </c>
      <c r="AC19" s="436">
        <f t="shared" si="45"/>
        <v>222633.63399999961</v>
      </c>
      <c r="AD19" s="436">
        <f t="shared" si="45"/>
        <v>-22941575.303030312</v>
      </c>
      <c r="AE19" s="436">
        <f t="shared" si="45"/>
        <v>-6296833.9370303079</v>
      </c>
      <c r="AF19" s="436">
        <f t="shared" si="45"/>
        <v>2111425.3006666666</v>
      </c>
      <c r="AG19" s="436">
        <f t="shared" si="45"/>
        <v>-4185408.6363636404</v>
      </c>
      <c r="AH19" s="436">
        <f t="shared" si="45"/>
        <v>-4820224.9370303079</v>
      </c>
      <c r="AI19" s="436">
        <f t="shared" si="45"/>
        <v>2350649.6339999996</v>
      </c>
      <c r="AJ19" s="436">
        <f t="shared" si="45"/>
        <v>43449103.096969694</v>
      </c>
      <c r="AK19" s="436">
        <f t="shared" si="45"/>
        <v>-1410620.737030305</v>
      </c>
      <c r="AL19" s="436">
        <f t="shared" si="45"/>
        <v>2787545.4339999999</v>
      </c>
      <c r="AM19" s="436">
        <f t="shared" si="45"/>
        <v>18596429.096969694</v>
      </c>
      <c r="AN19" s="436">
        <f t="shared" si="45"/>
        <v>-21496444.337030292</v>
      </c>
      <c r="AO19" s="436">
        <f t="shared" si="45"/>
        <v>1042369.034</v>
      </c>
      <c r="AP19" s="436">
        <f t="shared" si="45"/>
        <v>-3234570.9030303061</v>
      </c>
      <c r="AQ19" s="436">
        <f t="shared" si="45"/>
        <v>-13420843.999999881</v>
      </c>
      <c r="AS19" s="547"/>
    </row>
    <row r="20" spans="1:45" s="17" customFormat="1">
      <c r="A20" s="430">
        <v>4</v>
      </c>
      <c r="B20" s="68" t="s">
        <v>360</v>
      </c>
      <c r="C20" s="383">
        <f>+E20-D20</f>
        <v>11494175.014799999</v>
      </c>
      <c r="D20" s="383">
        <f>+E20*0.0748</f>
        <v>929273.98520000011</v>
      </c>
      <c r="E20" s="383">
        <f>+'2016 ktgterv_teljes parkolás'!P46</f>
        <v>12423449</v>
      </c>
      <c r="F20" s="358"/>
      <c r="G20" s="428">
        <f>+I20-K20</f>
        <v>0</v>
      </c>
      <c r="H20" s="431">
        <f>+I20*$F$13</f>
        <v>0</v>
      </c>
      <c r="I20" s="428">
        <f>+'2016 ktgterv_teljes parkolás'!D46</f>
        <v>0</v>
      </c>
      <c r="J20" s="429">
        <f>+L20-K20</f>
        <v>0</v>
      </c>
      <c r="K20" s="432">
        <f>+L20*$F$13</f>
        <v>0</v>
      </c>
      <c r="L20" s="428">
        <f>+'2016 ktgterv_teljes parkolás'!E46</f>
        <v>0</v>
      </c>
      <c r="M20" s="429">
        <f>+O20-N20</f>
        <v>0</v>
      </c>
      <c r="N20" s="432">
        <f>+O20*$F$13</f>
        <v>0</v>
      </c>
      <c r="O20" s="428">
        <f>+'2016 ktgterv_teljes parkolás'!F46</f>
        <v>0</v>
      </c>
      <c r="P20" s="429">
        <f>+R20-Q20</f>
        <v>0</v>
      </c>
      <c r="Q20" s="432">
        <f>+R20*$F$13</f>
        <v>0</v>
      </c>
      <c r="R20" s="428">
        <f>+'2016 ktgterv_teljes parkolás'!G46</f>
        <v>0</v>
      </c>
      <c r="S20" s="429">
        <f>+U20-T20</f>
        <v>0</v>
      </c>
      <c r="T20" s="432">
        <f>+U20*$F$13</f>
        <v>0</v>
      </c>
      <c r="U20" s="428">
        <f>+'2016 ktgterv_teljes parkolás'!H46</f>
        <v>0</v>
      </c>
      <c r="V20" s="429">
        <f>+X20-W20</f>
        <v>3864564.1008000001</v>
      </c>
      <c r="W20" s="432">
        <f>+X20*$F$13</f>
        <v>312439.89920000004</v>
      </c>
      <c r="X20" s="428">
        <f>+'2016 ktgterv_teljes parkolás'!I46</f>
        <v>4177004</v>
      </c>
      <c r="Y20" s="429">
        <f>+AA20-Z20</f>
        <v>0</v>
      </c>
      <c r="Z20" s="432">
        <f>+AA20*$F$13</f>
        <v>0</v>
      </c>
      <c r="AA20" s="428">
        <f>+'2016 ktgterv_teljes parkolás'!J46</f>
        <v>0</v>
      </c>
      <c r="AB20" s="429">
        <f>+AD20-AC20</f>
        <v>0</v>
      </c>
      <c r="AC20" s="432">
        <f>+AD20*$F$13</f>
        <v>0</v>
      </c>
      <c r="AD20" s="428">
        <f>+'2016 ktgterv_teljes parkolás'!K46</f>
        <v>0</v>
      </c>
      <c r="AE20" s="429">
        <f>+AG20-AF20</f>
        <v>2281954.9139999999</v>
      </c>
      <c r="AF20" s="432">
        <f>+AG20*$F$13</f>
        <v>184490.08600000001</v>
      </c>
      <c r="AG20" s="428">
        <f>+'2016 ktgterv_teljes parkolás'!L46</f>
        <v>2466445</v>
      </c>
      <c r="AH20" s="429">
        <f>+AJ20-AI20</f>
        <v>0</v>
      </c>
      <c r="AI20" s="432">
        <f>+AJ20*$F$13</f>
        <v>0</v>
      </c>
      <c r="AJ20" s="428">
        <f>+'2016 ktgterv_teljes parkolás'!M46</f>
        <v>0</v>
      </c>
      <c r="AK20" s="429">
        <f>+AM20-AL20</f>
        <v>0</v>
      </c>
      <c r="AL20" s="432">
        <f>+AM20*$F$13</f>
        <v>0</v>
      </c>
      <c r="AM20" s="428">
        <f>+'2016 ktgterv_teljes parkolás'!N46</f>
        <v>0</v>
      </c>
      <c r="AN20" s="429">
        <f>+AP20-AO20</f>
        <v>5347656</v>
      </c>
      <c r="AO20" s="432">
        <f>+AP20*$F$13</f>
        <v>432344.00000000006</v>
      </c>
      <c r="AP20" s="428">
        <f>+'2016 ktgterv_teljes parkolás'!O46</f>
        <v>5780000</v>
      </c>
      <c r="AQ20" s="349">
        <f>+AP20+AM20+AJ20+AG20+AD20+AA20+X20+U20+R20+O20+L20+I20</f>
        <v>12423449</v>
      </c>
    </row>
    <row r="21" spans="1:45" s="438" customFormat="1">
      <c r="A21" s="434" t="s">
        <v>362</v>
      </c>
      <c r="B21" s="435"/>
      <c r="C21" s="353">
        <f t="shared" ref="C21:AQ21" si="46">+C19-C20</f>
        <v>-5989584.1388189066</v>
      </c>
      <c r="D21" s="353">
        <f t="shared" si="46"/>
        <v>15781291.359291332</v>
      </c>
      <c r="E21" s="353">
        <f t="shared" si="46"/>
        <v>9791707</v>
      </c>
      <c r="F21" s="353">
        <f t="shared" si="46"/>
        <v>50647999.9252</v>
      </c>
      <c r="G21" s="353">
        <f t="shared" si="46"/>
        <v>-21796569.500666678</v>
      </c>
      <c r="H21" s="353">
        <f t="shared" si="46"/>
        <v>775524.50066666678</v>
      </c>
      <c r="I21" s="353">
        <f t="shared" si="46"/>
        <v>-9541375.3999999985</v>
      </c>
      <c r="J21" s="353">
        <f t="shared" si="46"/>
        <v>-7088400.737030305</v>
      </c>
      <c r="K21" s="353">
        <f t="shared" si="46"/>
        <v>2127325.4339999999</v>
      </c>
      <c r="L21" s="353">
        <f t="shared" si="46"/>
        <v>6518594.2969696894</v>
      </c>
      <c r="M21" s="353">
        <f t="shared" si="46"/>
        <v>-21567049.737030305</v>
      </c>
      <c r="N21" s="353">
        <f t="shared" si="46"/>
        <v>835474.43400000036</v>
      </c>
      <c r="O21" s="353">
        <f t="shared" si="46"/>
        <v>-14991740.503030315</v>
      </c>
      <c r="P21" s="353">
        <f t="shared" si="46"/>
        <v>-11552684.937030308</v>
      </c>
      <c r="Q21" s="353">
        <f t="shared" si="46"/>
        <v>18348629.634</v>
      </c>
      <c r="R21" s="353">
        <f t="shared" si="46"/>
        <v>-4167740.503030315</v>
      </c>
      <c r="S21" s="353">
        <f t="shared" si="46"/>
        <v>-22486040.937030308</v>
      </c>
      <c r="T21" s="353">
        <f t="shared" si="46"/>
        <v>18815132.300666668</v>
      </c>
      <c r="U21" s="353">
        <f t="shared" si="46"/>
        <v>-3670908.6363636404</v>
      </c>
      <c r="V21" s="353">
        <f t="shared" si="46"/>
        <v>-13260802.037830308</v>
      </c>
      <c r="W21" s="353">
        <f t="shared" si="46"/>
        <v>1385722.7347999995</v>
      </c>
      <c r="X21" s="353">
        <f t="shared" si="46"/>
        <v>-11875079.303030312</v>
      </c>
      <c r="Y21" s="353">
        <f t="shared" si="46"/>
        <v>-12777208.937030308</v>
      </c>
      <c r="Z21" s="353">
        <f t="shared" si="46"/>
        <v>1223633.6339999996</v>
      </c>
      <c r="AA21" s="353">
        <f t="shared" si="46"/>
        <v>-11553575.303030312</v>
      </c>
      <c r="AB21" s="353">
        <f t="shared" si="46"/>
        <v>-23164208.937030308</v>
      </c>
      <c r="AC21" s="353">
        <f t="shared" si="46"/>
        <v>222633.63399999961</v>
      </c>
      <c r="AD21" s="353">
        <f t="shared" si="46"/>
        <v>-22941575.303030312</v>
      </c>
      <c r="AE21" s="353">
        <f t="shared" si="46"/>
        <v>-8578788.8510303088</v>
      </c>
      <c r="AF21" s="353">
        <f t="shared" si="46"/>
        <v>1926935.2146666665</v>
      </c>
      <c r="AG21" s="353">
        <f t="shared" si="46"/>
        <v>-6651853.6363636404</v>
      </c>
      <c r="AH21" s="353">
        <f t="shared" si="46"/>
        <v>-4820224.9370303079</v>
      </c>
      <c r="AI21" s="353">
        <f t="shared" si="46"/>
        <v>2350649.6339999996</v>
      </c>
      <c r="AJ21" s="353">
        <f t="shared" si="46"/>
        <v>43449103.096969694</v>
      </c>
      <c r="AK21" s="353">
        <f t="shared" si="46"/>
        <v>-1410620.737030305</v>
      </c>
      <c r="AL21" s="353">
        <f t="shared" si="46"/>
        <v>2787545.4339999999</v>
      </c>
      <c r="AM21" s="353">
        <f t="shared" si="46"/>
        <v>18596429.096969694</v>
      </c>
      <c r="AN21" s="353">
        <f t="shared" si="46"/>
        <v>-26844100.337030292</v>
      </c>
      <c r="AO21" s="353">
        <f t="shared" si="46"/>
        <v>610025.03399999999</v>
      </c>
      <c r="AP21" s="353">
        <f t="shared" si="46"/>
        <v>-9014570.9030303061</v>
      </c>
      <c r="AQ21" s="353">
        <f t="shared" si="46"/>
        <v>-25844292.999999881</v>
      </c>
    </row>
    <row r="22" spans="1:45" s="359" customFormat="1">
      <c r="A22" s="70"/>
      <c r="B22" s="380"/>
      <c r="C22" s="363"/>
      <c r="D22" s="363"/>
      <c r="E22" s="363"/>
      <c r="F22" s="47"/>
      <c r="G22" s="420"/>
      <c r="H22" s="420"/>
      <c r="I22" s="420"/>
      <c r="J22" s="420"/>
      <c r="K22" s="420"/>
      <c r="L22" s="420"/>
      <c r="M22" s="420"/>
      <c r="N22" s="420"/>
      <c r="O22" s="420"/>
      <c r="P22" s="420"/>
      <c r="Q22" s="421"/>
      <c r="R22" s="421"/>
      <c r="S22" s="421"/>
      <c r="T22" s="421"/>
      <c r="U22" s="421"/>
      <c r="V22" s="421"/>
      <c r="W22" s="421"/>
      <c r="X22" s="421"/>
      <c r="Y22" s="421"/>
      <c r="Z22" s="421"/>
      <c r="AA22" s="421"/>
      <c r="AB22" s="421"/>
      <c r="AC22" s="421"/>
      <c r="AD22" s="421"/>
      <c r="AE22" s="421"/>
      <c r="AF22" s="421"/>
      <c r="AG22" s="421"/>
      <c r="AH22" s="421"/>
      <c r="AI22" s="421"/>
      <c r="AJ22" s="421"/>
      <c r="AK22" s="421"/>
      <c r="AL22" s="421"/>
      <c r="AM22" s="421"/>
      <c r="AN22" s="421"/>
      <c r="AO22" s="421"/>
      <c r="AP22" s="421"/>
      <c r="AQ22" s="421"/>
    </row>
  </sheetData>
  <mergeCells count="13">
    <mergeCell ref="AE2:AG2"/>
    <mergeCell ref="AH2:AJ2"/>
    <mergeCell ref="G2:I2"/>
    <mergeCell ref="AK2:AM2"/>
    <mergeCell ref="AN2:AP2"/>
    <mergeCell ref="J2:L2"/>
    <mergeCell ref="M2:O2"/>
    <mergeCell ref="P2:R2"/>
    <mergeCell ref="A2:E2"/>
    <mergeCell ref="S2:U2"/>
    <mergeCell ref="V2:X2"/>
    <mergeCell ref="Y2:AA2"/>
    <mergeCell ref="AB2:AD2"/>
  </mergeCells>
  <pageMargins left="0" right="0" top="0" bottom="0" header="0.31496062992125984" footer="0.31496062992125984"/>
  <pageSetup paperSize="256" scale="75" orientation="landscape" r:id="rId1"/>
  <ignoredErrors>
    <ignoredError sqref="G16:H16 H14 K14 J16:K16 N14 M16:N16 Q14 P16:Q16 T14 T16 W14 V16:W16 Z14 Y16:Z16 AB16:AC16 AC14 AF14 AE16:AF16 AI14 AH16:AI16 AL14 AK16:AL16 AN16:AO16 AO14 AQ19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9"/>
  <sheetViews>
    <sheetView zoomScale="85" zoomScaleNormal="85" workbookViewId="0">
      <selection activeCell="K38" sqref="K38"/>
    </sheetView>
  </sheetViews>
  <sheetFormatPr defaultRowHeight="15"/>
  <cols>
    <col min="1" max="1" width="29.85546875" style="274" customWidth="1"/>
    <col min="2" max="2" width="12" style="273" customWidth="1"/>
    <col min="3" max="3" width="12" style="229" customWidth="1"/>
    <col min="4" max="5" width="11.140625" style="229" customWidth="1"/>
    <col min="6" max="6" width="12.28515625" style="229" customWidth="1"/>
    <col min="7" max="7" width="13.85546875" style="229" customWidth="1"/>
    <col min="8" max="10" width="13.85546875" style="229" hidden="1" customWidth="1"/>
    <col min="11" max="11" width="16.140625" customWidth="1"/>
    <col min="12" max="14" width="16.140625" style="278" hidden="1" customWidth="1"/>
    <col min="15" max="15" width="15.7109375" customWidth="1"/>
    <col min="16" max="16" width="14.85546875" customWidth="1"/>
    <col min="17" max="17" width="15.85546875" customWidth="1"/>
    <col min="18" max="20" width="15.85546875" style="278" hidden="1" customWidth="1"/>
    <col min="21" max="21" width="15.7109375" customWidth="1"/>
    <col min="22" max="22" width="14.42578125" customWidth="1"/>
    <col min="23" max="23" width="13.5703125" customWidth="1"/>
    <col min="24" max="24" width="13.85546875" customWidth="1"/>
    <col min="25" max="25" width="14" customWidth="1"/>
    <col min="26" max="27" width="13.5703125" customWidth="1"/>
    <col min="28" max="28" width="15" style="257" bestFit="1" customWidth="1"/>
    <col min="29" max="30" width="15.140625" customWidth="1"/>
    <col min="31" max="31" width="15" customWidth="1"/>
  </cols>
  <sheetData>
    <row r="1" spans="1:31" ht="15" customHeight="1">
      <c r="A1" s="569" t="s">
        <v>267</v>
      </c>
      <c r="B1" s="569"/>
      <c r="C1" s="569"/>
      <c r="D1" s="569"/>
      <c r="E1" s="569"/>
      <c r="F1" s="569"/>
      <c r="G1" s="569"/>
      <c r="H1" s="569"/>
      <c r="I1" s="569"/>
      <c r="J1" s="569"/>
      <c r="K1" s="569"/>
      <c r="L1" s="569"/>
      <c r="M1" s="569"/>
      <c r="N1" s="569"/>
      <c r="O1" s="569"/>
      <c r="P1" s="569"/>
      <c r="Q1" s="569"/>
      <c r="R1" s="569"/>
      <c r="S1" s="569"/>
      <c r="T1" s="569"/>
      <c r="U1" s="569"/>
      <c r="V1" s="569"/>
      <c r="W1" s="569"/>
      <c r="X1" s="569"/>
      <c r="Y1" s="569"/>
      <c r="Z1" s="569"/>
      <c r="AA1" s="569"/>
      <c r="AB1" s="569"/>
      <c r="AC1" s="569"/>
      <c r="AD1" s="569"/>
      <c r="AE1" s="569"/>
    </row>
    <row r="2" spans="1:31" ht="37.5" customHeight="1">
      <c r="A2" s="569"/>
      <c r="B2" s="569"/>
      <c r="C2" s="569"/>
      <c r="D2" s="569"/>
      <c r="E2" s="569"/>
      <c r="F2" s="569"/>
      <c r="G2" s="569"/>
      <c r="H2" s="569"/>
      <c r="I2" s="569"/>
      <c r="J2" s="569"/>
      <c r="K2" s="569"/>
      <c r="L2" s="569"/>
      <c r="M2" s="569"/>
      <c r="N2" s="569"/>
      <c r="O2" s="569"/>
      <c r="P2" s="569"/>
      <c r="Q2" s="569"/>
      <c r="R2" s="569"/>
      <c r="S2" s="569"/>
      <c r="T2" s="569"/>
      <c r="U2" s="569"/>
      <c r="V2" s="569"/>
      <c r="W2" s="569"/>
      <c r="X2" s="569"/>
      <c r="Y2" s="569"/>
      <c r="Z2" s="569"/>
      <c r="AA2" s="569"/>
      <c r="AB2" s="569"/>
      <c r="AC2" s="569"/>
      <c r="AD2" s="569"/>
      <c r="AE2" s="569"/>
    </row>
    <row r="3" spans="1:31" s="167" customFormat="1" ht="17.25" customHeight="1" thickBot="1">
      <c r="A3" s="272"/>
      <c r="B3" s="572" t="s">
        <v>266</v>
      </c>
      <c r="C3" s="572"/>
      <c r="D3" s="572"/>
      <c r="E3" s="572"/>
      <c r="F3" s="572"/>
      <c r="G3" s="266"/>
      <c r="H3" s="266"/>
      <c r="I3" s="266"/>
      <c r="J3" s="266"/>
      <c r="K3" s="265"/>
      <c r="L3" s="265"/>
      <c r="M3" s="265"/>
      <c r="N3" s="265"/>
      <c r="O3" s="265"/>
      <c r="P3" s="265"/>
      <c r="Q3" s="265"/>
      <c r="R3" s="265"/>
      <c r="S3" s="265"/>
      <c r="T3" s="265"/>
      <c r="U3" s="265"/>
      <c r="V3" s="265"/>
      <c r="W3" s="265"/>
      <c r="X3" s="265"/>
      <c r="Y3" s="265"/>
      <c r="Z3" s="265"/>
      <c r="AA3" s="265"/>
      <c r="AB3" s="49"/>
      <c r="AC3" s="49"/>
      <c r="AD3" s="49"/>
      <c r="AE3" s="49"/>
    </row>
    <row r="4" spans="1:31">
      <c r="A4" s="570" t="s">
        <v>265</v>
      </c>
      <c r="B4" s="269" t="s">
        <v>127</v>
      </c>
      <c r="C4" s="264" t="s">
        <v>264</v>
      </c>
      <c r="D4" s="264" t="s">
        <v>263</v>
      </c>
      <c r="E4" s="264" t="s">
        <v>262</v>
      </c>
      <c r="F4" s="264" t="s">
        <v>261</v>
      </c>
      <c r="G4" s="264" t="s">
        <v>6</v>
      </c>
      <c r="H4" s="264"/>
      <c r="I4" s="264"/>
      <c r="J4" s="264"/>
      <c r="K4" s="264" t="s">
        <v>7</v>
      </c>
      <c r="L4" s="264"/>
      <c r="M4" s="264"/>
      <c r="N4" s="264"/>
      <c r="O4" s="264" t="s">
        <v>8</v>
      </c>
      <c r="P4" s="264" t="s">
        <v>9</v>
      </c>
      <c r="Q4" s="264" t="s">
        <v>10</v>
      </c>
      <c r="R4" s="264"/>
      <c r="S4" s="264"/>
      <c r="T4" s="264"/>
      <c r="U4" s="264" t="s">
        <v>11</v>
      </c>
      <c r="V4" s="264" t="s">
        <v>12</v>
      </c>
      <c r="W4" s="264" t="s">
        <v>13</v>
      </c>
      <c r="X4" s="264" t="s">
        <v>14</v>
      </c>
      <c r="Y4" s="264" t="s">
        <v>15</v>
      </c>
      <c r="Z4" s="264" t="s">
        <v>16</v>
      </c>
      <c r="AA4" s="471" t="s">
        <v>17</v>
      </c>
      <c r="AB4" s="476" t="s">
        <v>260</v>
      </c>
      <c r="AC4" s="473" t="s">
        <v>259</v>
      </c>
      <c r="AD4" s="263" t="s">
        <v>90</v>
      </c>
      <c r="AE4" s="263" t="s">
        <v>258</v>
      </c>
    </row>
    <row r="5" spans="1:31">
      <c r="A5" s="571"/>
      <c r="B5" s="270"/>
      <c r="C5" s="262"/>
      <c r="D5" s="262"/>
      <c r="E5" s="262"/>
      <c r="F5" s="262"/>
      <c r="G5" s="262">
        <f>SUM(G6:G28)</f>
        <v>20918000.000000004</v>
      </c>
      <c r="H5" s="262">
        <f>SUM(H6:H28)</f>
        <v>14610000</v>
      </c>
      <c r="I5" s="262">
        <f t="shared" ref="I5:AA5" si="0">SUM(I6:I28)</f>
        <v>4383000</v>
      </c>
      <c r="J5" s="262">
        <f t="shared" si="0"/>
        <v>1925000.0000000002</v>
      </c>
      <c r="K5" s="262">
        <f t="shared" si="0"/>
        <v>20983000.666666668</v>
      </c>
      <c r="L5" s="262">
        <f>SUM(L6:L28)</f>
        <v>14660000</v>
      </c>
      <c r="M5" s="262">
        <f>SUM(M6:M28)</f>
        <v>4398000</v>
      </c>
      <c r="N5" s="262">
        <f t="shared" ref="N5" si="1">SUM(N6:N28)</f>
        <v>1925000.0000000002</v>
      </c>
      <c r="O5" s="262">
        <f t="shared" si="0"/>
        <v>20983000.666666668</v>
      </c>
      <c r="P5" s="262">
        <f t="shared" si="0"/>
        <v>20983000.666666668</v>
      </c>
      <c r="Q5" s="262">
        <f t="shared" si="0"/>
        <v>18643000.666666668</v>
      </c>
      <c r="R5" s="262">
        <f t="shared" ref="R5" si="2">SUM(R6:R28)</f>
        <v>12860000</v>
      </c>
      <c r="S5" s="262">
        <f t="shared" ref="S5" si="3">SUM(S6:S28)</f>
        <v>3858000</v>
      </c>
      <c r="T5" s="262">
        <f t="shared" ref="T5" si="4">SUM(T6:T28)</f>
        <v>1925000.0000000002</v>
      </c>
      <c r="U5" s="262">
        <f t="shared" si="0"/>
        <v>18643000.666666668</v>
      </c>
      <c r="V5" s="262">
        <f t="shared" si="0"/>
        <v>18643000.666666668</v>
      </c>
      <c r="W5" s="262">
        <f t="shared" si="0"/>
        <v>18643000.666666668</v>
      </c>
      <c r="X5" s="262">
        <f t="shared" si="0"/>
        <v>18643000.666666668</v>
      </c>
      <c r="Y5" s="262">
        <f t="shared" si="0"/>
        <v>20983000.666666668</v>
      </c>
      <c r="Z5" s="262">
        <f t="shared" si="0"/>
        <v>20983000.666666668</v>
      </c>
      <c r="AA5" s="470">
        <f t="shared" si="0"/>
        <v>37701001.333333328</v>
      </c>
      <c r="AB5" s="477">
        <f>SUM(AB6:AB28)</f>
        <v>296375007.99999994</v>
      </c>
      <c r="AC5" s="477">
        <f>SUM(AC6:AC28)</f>
        <v>179730000</v>
      </c>
      <c r="AD5" s="477">
        <f t="shared" ref="AD5:AE5" si="5">SUM(AD6:AD28)</f>
        <v>53919000</v>
      </c>
      <c r="AE5" s="477">
        <f t="shared" si="5"/>
        <v>23100000</v>
      </c>
    </row>
    <row r="6" spans="1:31">
      <c r="A6" s="252" t="s">
        <v>252</v>
      </c>
      <c r="B6" s="271">
        <v>1</v>
      </c>
      <c r="C6" s="260">
        <v>550000</v>
      </c>
      <c r="D6" s="260">
        <f>+C6*0.3</f>
        <v>165000</v>
      </c>
      <c r="E6" s="260">
        <f>350000/12</f>
        <v>29166.666666666668</v>
      </c>
      <c r="F6" s="260">
        <f>SUM(C6:E6)</f>
        <v>744166.66666666663</v>
      </c>
      <c r="G6" s="260">
        <f>+F6*$B$6</f>
        <v>744166.66666666663</v>
      </c>
      <c r="H6" s="260">
        <f>+C6*B6</f>
        <v>550000</v>
      </c>
      <c r="I6" s="260">
        <f>+D6*B6</f>
        <v>165000</v>
      </c>
      <c r="J6" s="260">
        <f>+E6*B6</f>
        <v>29166.666666666668</v>
      </c>
      <c r="K6" s="260">
        <f>+G6</f>
        <v>744166.66666666663</v>
      </c>
      <c r="L6" s="260">
        <v>550000</v>
      </c>
      <c r="M6" s="260">
        <v>165000</v>
      </c>
      <c r="N6" s="260">
        <v>29166.666666666668</v>
      </c>
      <c r="O6" s="260">
        <f>+K6</f>
        <v>744166.66666666663</v>
      </c>
      <c r="P6" s="260">
        <f>+O6</f>
        <v>744166.66666666663</v>
      </c>
      <c r="Q6" s="260">
        <f t="shared" ref="Q6:Z6" si="6">+P6</f>
        <v>744166.66666666663</v>
      </c>
      <c r="R6" s="260">
        <f>+B6*C6</f>
        <v>550000</v>
      </c>
      <c r="S6" s="260">
        <f>+B6*D6</f>
        <v>165000</v>
      </c>
      <c r="T6" s="260">
        <f>+B6*E6</f>
        <v>29166.666666666668</v>
      </c>
      <c r="U6" s="260">
        <f>+Q6</f>
        <v>744166.66666666663</v>
      </c>
      <c r="V6" s="260">
        <f t="shared" si="6"/>
        <v>744166.66666666663</v>
      </c>
      <c r="W6" s="260">
        <f t="shared" si="6"/>
        <v>744166.66666666663</v>
      </c>
      <c r="X6" s="260">
        <f t="shared" si="6"/>
        <v>744166.66666666663</v>
      </c>
      <c r="Y6" s="260">
        <f t="shared" si="6"/>
        <v>744166.66666666663</v>
      </c>
      <c r="Z6" s="260">
        <f t="shared" si="6"/>
        <v>744166.66666666663</v>
      </c>
      <c r="AA6" s="472">
        <f>+(E6+(C6+D6)*2)*B6</f>
        <v>1459166.6666666667</v>
      </c>
      <c r="AB6" s="478">
        <f t="shared" ref="AB6:AB28" si="7">SUM(H6:AA6)</f>
        <v>11133333.333333332</v>
      </c>
      <c r="AC6" s="474">
        <f>+C6*B6*13</f>
        <v>7150000</v>
      </c>
      <c r="AD6" s="259">
        <f>+D6*B6*13</f>
        <v>2145000</v>
      </c>
      <c r="AE6" s="258">
        <f>+E6*B6*12</f>
        <v>350000</v>
      </c>
    </row>
    <row r="7" spans="1:31">
      <c r="A7" s="252" t="s">
        <v>243</v>
      </c>
      <c r="B7" s="271">
        <v>1</v>
      </c>
      <c r="C7" s="260">
        <v>500000</v>
      </c>
      <c r="D7" s="260">
        <f t="shared" ref="D7:D28" si="8">+C7*0.3</f>
        <v>150000</v>
      </c>
      <c r="E7" s="260">
        <f t="shared" ref="E7:E27" si="9">350000/12</f>
        <v>29166.666666666668</v>
      </c>
      <c r="F7" s="260">
        <f t="shared" ref="F7:F28" si="10">SUM(C7:E7)</f>
        <v>679166.66666666663</v>
      </c>
      <c r="G7" s="260">
        <f>+F7*$B$7</f>
        <v>679166.66666666663</v>
      </c>
      <c r="H7" s="260">
        <f t="shared" ref="H7:H28" si="11">+C7*B7</f>
        <v>500000</v>
      </c>
      <c r="I7" s="260">
        <f t="shared" ref="I7:I28" si="12">+D7*B7</f>
        <v>150000</v>
      </c>
      <c r="J7" s="260">
        <f t="shared" ref="J7:J28" si="13">+E7*B7</f>
        <v>29166.666666666668</v>
      </c>
      <c r="K7" s="260">
        <f>+G7</f>
        <v>679166.66666666663</v>
      </c>
      <c r="L7" s="260">
        <v>500000</v>
      </c>
      <c r="M7" s="260">
        <v>150000</v>
      </c>
      <c r="N7" s="260">
        <v>29166.666666666668</v>
      </c>
      <c r="O7" s="260">
        <f>+K7</f>
        <v>679166.66666666663</v>
      </c>
      <c r="P7" s="260">
        <f>+O7</f>
        <v>679166.66666666663</v>
      </c>
      <c r="Q7" s="260">
        <f t="shared" ref="Q7:Z7" si="14">+P7</f>
        <v>679166.66666666663</v>
      </c>
      <c r="R7" s="260">
        <f t="shared" ref="R7:R27" si="15">+B7*C7</f>
        <v>500000</v>
      </c>
      <c r="S7" s="260">
        <f t="shared" ref="S7:S27" si="16">+B7*D7</f>
        <v>150000</v>
      </c>
      <c r="T7" s="260">
        <f t="shared" ref="T7:T27" si="17">+B7*E7</f>
        <v>29166.666666666668</v>
      </c>
      <c r="U7" s="260">
        <f>+Q7</f>
        <v>679166.66666666663</v>
      </c>
      <c r="V7" s="260">
        <f t="shared" si="14"/>
        <v>679166.66666666663</v>
      </c>
      <c r="W7" s="260">
        <f t="shared" si="14"/>
        <v>679166.66666666663</v>
      </c>
      <c r="X7" s="260">
        <f t="shared" si="14"/>
        <v>679166.66666666663</v>
      </c>
      <c r="Y7" s="260">
        <f t="shared" si="14"/>
        <v>679166.66666666663</v>
      </c>
      <c r="Z7" s="260">
        <f t="shared" si="14"/>
        <v>679166.66666666663</v>
      </c>
      <c r="AA7" s="472">
        <f>+(E7+(C7+D7)*2)*B7</f>
        <v>1329166.6666666667</v>
      </c>
      <c r="AB7" s="478">
        <f t="shared" si="7"/>
        <v>10158333.333333334</v>
      </c>
      <c r="AC7" s="474">
        <f>+C7*B7*13</f>
        <v>6500000</v>
      </c>
      <c r="AD7" s="259">
        <f>+D7*B7*13</f>
        <v>1950000</v>
      </c>
      <c r="AE7" s="258">
        <f>+E7*B7*12</f>
        <v>350000</v>
      </c>
    </row>
    <row r="8" spans="1:31">
      <c r="A8" s="252" t="s">
        <v>221</v>
      </c>
      <c r="B8" s="271">
        <v>1</v>
      </c>
      <c r="C8" s="260">
        <v>230000</v>
      </c>
      <c r="D8" s="260">
        <f t="shared" si="8"/>
        <v>69000</v>
      </c>
      <c r="E8" s="260">
        <f t="shared" si="9"/>
        <v>29166.666666666668</v>
      </c>
      <c r="F8" s="260">
        <f t="shared" si="10"/>
        <v>328166.66666666669</v>
      </c>
      <c r="G8" s="260">
        <f>+F8*$B$8</f>
        <v>328166.66666666669</v>
      </c>
      <c r="H8" s="260">
        <f t="shared" si="11"/>
        <v>230000</v>
      </c>
      <c r="I8" s="260">
        <f t="shared" si="12"/>
        <v>69000</v>
      </c>
      <c r="J8" s="260">
        <f t="shared" si="13"/>
        <v>29166.666666666668</v>
      </c>
      <c r="K8" s="260">
        <f>+G8</f>
        <v>328166.66666666669</v>
      </c>
      <c r="L8" s="260">
        <v>230000</v>
      </c>
      <c r="M8" s="260">
        <v>69000</v>
      </c>
      <c r="N8" s="260">
        <v>29166.666666666668</v>
      </c>
      <c r="O8" s="260">
        <f>+K8</f>
        <v>328166.66666666669</v>
      </c>
      <c r="P8" s="260">
        <f>+O8</f>
        <v>328166.66666666669</v>
      </c>
      <c r="Q8" s="260">
        <f t="shared" ref="Q8:Z8" si="18">+P8</f>
        <v>328166.66666666669</v>
      </c>
      <c r="R8" s="260">
        <f t="shared" si="15"/>
        <v>230000</v>
      </c>
      <c r="S8" s="260">
        <f t="shared" si="16"/>
        <v>69000</v>
      </c>
      <c r="T8" s="260">
        <f t="shared" si="17"/>
        <v>29166.666666666668</v>
      </c>
      <c r="U8" s="260">
        <f>+Q8</f>
        <v>328166.66666666669</v>
      </c>
      <c r="V8" s="260">
        <f t="shared" si="18"/>
        <v>328166.66666666669</v>
      </c>
      <c r="W8" s="260">
        <f t="shared" si="18"/>
        <v>328166.66666666669</v>
      </c>
      <c r="X8" s="260">
        <f t="shared" si="18"/>
        <v>328166.66666666669</v>
      </c>
      <c r="Y8" s="260">
        <f t="shared" si="18"/>
        <v>328166.66666666669</v>
      </c>
      <c r="Z8" s="260">
        <f t="shared" si="18"/>
        <v>328166.66666666669</v>
      </c>
      <c r="AA8" s="472">
        <f>+(E8+(C8+D8)*2)*B8</f>
        <v>627166.66666666663</v>
      </c>
      <c r="AB8" s="478">
        <f t="shared" si="7"/>
        <v>4893333.333333333</v>
      </c>
      <c r="AC8" s="474">
        <f>+C8*B8*13</f>
        <v>2990000</v>
      </c>
      <c r="AD8" s="259">
        <f>+D8*B8*13</f>
        <v>897000</v>
      </c>
      <c r="AE8" s="258">
        <f>+E8*B8*12</f>
        <v>350000</v>
      </c>
    </row>
    <row r="9" spans="1:31">
      <c r="A9" s="252" t="s">
        <v>224</v>
      </c>
      <c r="B9" s="271">
        <v>1</v>
      </c>
      <c r="C9" s="260">
        <v>200000</v>
      </c>
      <c r="D9" s="260">
        <f t="shared" si="8"/>
        <v>60000</v>
      </c>
      <c r="E9" s="260">
        <f t="shared" si="9"/>
        <v>29166.666666666668</v>
      </c>
      <c r="F9" s="260">
        <f t="shared" si="10"/>
        <v>289166.66666666669</v>
      </c>
      <c r="G9" s="260">
        <f>+F9*$B$9</f>
        <v>289166.66666666669</v>
      </c>
      <c r="H9" s="260">
        <f t="shared" si="11"/>
        <v>200000</v>
      </c>
      <c r="I9" s="260">
        <f t="shared" si="12"/>
        <v>60000</v>
      </c>
      <c r="J9" s="260">
        <f t="shared" si="13"/>
        <v>29166.666666666668</v>
      </c>
      <c r="K9" s="260">
        <f>+G9</f>
        <v>289166.66666666669</v>
      </c>
      <c r="L9" s="260">
        <v>200000</v>
      </c>
      <c r="M9" s="260">
        <v>60000</v>
      </c>
      <c r="N9" s="260">
        <v>29166.666666666668</v>
      </c>
      <c r="O9" s="260">
        <f>+K9</f>
        <v>289166.66666666669</v>
      </c>
      <c r="P9" s="260">
        <f>+O9</f>
        <v>289166.66666666669</v>
      </c>
      <c r="Q9" s="260">
        <f t="shared" ref="Q9:Z9" si="19">+P9</f>
        <v>289166.66666666669</v>
      </c>
      <c r="R9" s="260">
        <f t="shared" si="15"/>
        <v>200000</v>
      </c>
      <c r="S9" s="260">
        <f t="shared" si="16"/>
        <v>60000</v>
      </c>
      <c r="T9" s="260">
        <f t="shared" si="17"/>
        <v>29166.666666666668</v>
      </c>
      <c r="U9" s="260">
        <f>+Q9</f>
        <v>289166.66666666669</v>
      </c>
      <c r="V9" s="260">
        <f t="shared" si="19"/>
        <v>289166.66666666669</v>
      </c>
      <c r="W9" s="260">
        <f t="shared" si="19"/>
        <v>289166.66666666669</v>
      </c>
      <c r="X9" s="260">
        <f t="shared" si="19"/>
        <v>289166.66666666669</v>
      </c>
      <c r="Y9" s="260">
        <f t="shared" si="19"/>
        <v>289166.66666666669</v>
      </c>
      <c r="Z9" s="260">
        <f t="shared" si="19"/>
        <v>289166.66666666669</v>
      </c>
      <c r="AA9" s="472">
        <f>+(E9+(C9+D9)*2)*B9</f>
        <v>549166.66666666663</v>
      </c>
      <c r="AB9" s="478">
        <f t="shared" si="7"/>
        <v>4308333.333333333</v>
      </c>
      <c r="AC9" s="474">
        <f>+C9*B9*13</f>
        <v>2600000</v>
      </c>
      <c r="AD9" s="259">
        <f>+D9*B9*13</f>
        <v>780000</v>
      </c>
      <c r="AE9" s="258">
        <f>+E9*B9*12</f>
        <v>350000</v>
      </c>
    </row>
    <row r="10" spans="1:31">
      <c r="A10" s="244" t="s">
        <v>248</v>
      </c>
      <c r="B10" s="271"/>
      <c r="C10" s="260"/>
      <c r="D10" s="260"/>
      <c r="E10" s="260"/>
      <c r="F10" s="260"/>
      <c r="G10" s="260"/>
      <c r="H10" s="260">
        <f t="shared" si="11"/>
        <v>0</v>
      </c>
      <c r="I10" s="260">
        <f t="shared" si="12"/>
        <v>0</v>
      </c>
      <c r="J10" s="260">
        <f t="shared" si="13"/>
        <v>0</v>
      </c>
      <c r="K10" s="260"/>
      <c r="L10" s="260">
        <v>0</v>
      </c>
      <c r="M10" s="260">
        <v>0</v>
      </c>
      <c r="N10" s="260">
        <v>0</v>
      </c>
      <c r="O10" s="260"/>
      <c r="P10" s="260"/>
      <c r="Q10" s="260"/>
      <c r="R10" s="260">
        <f t="shared" si="15"/>
        <v>0</v>
      </c>
      <c r="S10" s="260">
        <f t="shared" si="16"/>
        <v>0</v>
      </c>
      <c r="T10" s="260">
        <f t="shared" si="17"/>
        <v>0</v>
      </c>
      <c r="U10" s="260"/>
      <c r="V10" s="260"/>
      <c r="W10" s="260"/>
      <c r="X10" s="260"/>
      <c r="Y10" s="260"/>
      <c r="Z10" s="260"/>
      <c r="AA10" s="472"/>
      <c r="AB10" s="478">
        <f t="shared" si="7"/>
        <v>0</v>
      </c>
      <c r="AC10" s="474"/>
      <c r="AD10" s="259"/>
      <c r="AE10" s="258"/>
    </row>
    <row r="11" spans="1:31" s="261" customFormat="1">
      <c r="A11" s="246" t="s">
        <v>247</v>
      </c>
      <c r="B11" s="271">
        <v>1</v>
      </c>
      <c r="C11" s="260">
        <v>300000</v>
      </c>
      <c r="D11" s="260">
        <f t="shared" si="8"/>
        <v>90000</v>
      </c>
      <c r="E11" s="260">
        <f t="shared" si="9"/>
        <v>29166.666666666668</v>
      </c>
      <c r="F11" s="260">
        <f t="shared" si="10"/>
        <v>419166.66666666669</v>
      </c>
      <c r="G11" s="260">
        <f>+F11*$B$11</f>
        <v>419166.66666666669</v>
      </c>
      <c r="H11" s="260">
        <f t="shared" si="11"/>
        <v>300000</v>
      </c>
      <c r="I11" s="260">
        <f t="shared" si="12"/>
        <v>90000</v>
      </c>
      <c r="J11" s="260">
        <f t="shared" si="13"/>
        <v>29166.666666666668</v>
      </c>
      <c r="K11" s="260">
        <f>+G11</f>
        <v>419166.66666666669</v>
      </c>
      <c r="L11" s="260">
        <v>300000</v>
      </c>
      <c r="M11" s="260">
        <v>90000</v>
      </c>
      <c r="N11" s="260">
        <v>29166.666666666668</v>
      </c>
      <c r="O11" s="260">
        <f>+K11</f>
        <v>419166.66666666669</v>
      </c>
      <c r="P11" s="260">
        <f>+O11</f>
        <v>419166.66666666669</v>
      </c>
      <c r="Q11" s="260">
        <f t="shared" ref="Q11:Z11" si="20">+P11</f>
        <v>419166.66666666669</v>
      </c>
      <c r="R11" s="260">
        <f t="shared" si="15"/>
        <v>300000</v>
      </c>
      <c r="S11" s="260">
        <f t="shared" si="16"/>
        <v>90000</v>
      </c>
      <c r="T11" s="260">
        <f t="shared" si="17"/>
        <v>29166.666666666668</v>
      </c>
      <c r="U11" s="260">
        <f>+Q11</f>
        <v>419166.66666666669</v>
      </c>
      <c r="V11" s="260">
        <f t="shared" si="20"/>
        <v>419166.66666666669</v>
      </c>
      <c r="W11" s="260">
        <f t="shared" si="20"/>
        <v>419166.66666666669</v>
      </c>
      <c r="X11" s="260">
        <f t="shared" si="20"/>
        <v>419166.66666666669</v>
      </c>
      <c r="Y11" s="260">
        <f t="shared" si="20"/>
        <v>419166.66666666669</v>
      </c>
      <c r="Z11" s="260">
        <f t="shared" si="20"/>
        <v>419166.66666666669</v>
      </c>
      <c r="AA11" s="472">
        <f>+(E11+(C11+D11)*2)*B11</f>
        <v>809166.66666666663</v>
      </c>
      <c r="AB11" s="478">
        <f t="shared" si="7"/>
        <v>6258333.333333334</v>
      </c>
      <c r="AC11" s="474">
        <f>+C11*B11*13</f>
        <v>3900000</v>
      </c>
      <c r="AD11" s="259">
        <f>+D11*B11*13</f>
        <v>1170000</v>
      </c>
      <c r="AE11" s="258">
        <f>+E11*B11*12</f>
        <v>350000</v>
      </c>
    </row>
    <row r="12" spans="1:31">
      <c r="A12" s="246" t="s">
        <v>257</v>
      </c>
      <c r="B12" s="271">
        <v>1</v>
      </c>
      <c r="C12" s="260">
        <v>250000</v>
      </c>
      <c r="D12" s="260">
        <f t="shared" si="8"/>
        <v>75000</v>
      </c>
      <c r="E12" s="260">
        <f t="shared" si="9"/>
        <v>29166.666666666668</v>
      </c>
      <c r="F12" s="260">
        <f t="shared" si="10"/>
        <v>354166.66666666669</v>
      </c>
      <c r="G12" s="260">
        <f>+F12*$B$12</f>
        <v>354166.66666666669</v>
      </c>
      <c r="H12" s="260">
        <f t="shared" si="11"/>
        <v>250000</v>
      </c>
      <c r="I12" s="260">
        <f t="shared" si="12"/>
        <v>75000</v>
      </c>
      <c r="J12" s="260">
        <f t="shared" si="13"/>
        <v>29166.666666666668</v>
      </c>
      <c r="K12" s="260">
        <f>+G12</f>
        <v>354166.66666666669</v>
      </c>
      <c r="L12" s="260">
        <v>250000</v>
      </c>
      <c r="M12" s="260">
        <v>75000</v>
      </c>
      <c r="N12" s="260">
        <v>29166.666666666668</v>
      </c>
      <c r="O12" s="260">
        <f>+K12</f>
        <v>354166.66666666669</v>
      </c>
      <c r="P12" s="260">
        <f>+O12</f>
        <v>354166.66666666669</v>
      </c>
      <c r="Q12" s="260">
        <f t="shared" ref="Q12:Z12" si="21">+P12</f>
        <v>354166.66666666669</v>
      </c>
      <c r="R12" s="260">
        <f t="shared" si="15"/>
        <v>250000</v>
      </c>
      <c r="S12" s="260">
        <f t="shared" si="16"/>
        <v>75000</v>
      </c>
      <c r="T12" s="260">
        <f t="shared" si="17"/>
        <v>29166.666666666668</v>
      </c>
      <c r="U12" s="260">
        <f>+Q12</f>
        <v>354166.66666666669</v>
      </c>
      <c r="V12" s="260">
        <f t="shared" si="21"/>
        <v>354166.66666666669</v>
      </c>
      <c r="W12" s="260">
        <f t="shared" si="21"/>
        <v>354166.66666666669</v>
      </c>
      <c r="X12" s="260">
        <f t="shared" si="21"/>
        <v>354166.66666666669</v>
      </c>
      <c r="Y12" s="260">
        <f t="shared" si="21"/>
        <v>354166.66666666669</v>
      </c>
      <c r="Z12" s="260">
        <f t="shared" si="21"/>
        <v>354166.66666666669</v>
      </c>
      <c r="AA12" s="472">
        <f>+(E12+(C12+D12)*2)*B12</f>
        <v>679166.66666666663</v>
      </c>
      <c r="AB12" s="478">
        <f t="shared" si="7"/>
        <v>5283333.333333333</v>
      </c>
      <c r="AC12" s="474">
        <f>+C12*B12*13</f>
        <v>3250000</v>
      </c>
      <c r="AD12" s="259">
        <f>+D12*B12*13</f>
        <v>975000</v>
      </c>
      <c r="AE12" s="258">
        <f>+E12*B12*12</f>
        <v>350000</v>
      </c>
    </row>
    <row r="13" spans="1:31">
      <c r="A13" s="246" t="s">
        <v>257</v>
      </c>
      <c r="B13" s="271">
        <v>3</v>
      </c>
      <c r="C13" s="260">
        <v>225000</v>
      </c>
      <c r="D13" s="260">
        <f t="shared" si="8"/>
        <v>67500</v>
      </c>
      <c r="E13" s="260">
        <f t="shared" si="9"/>
        <v>29166.666666666668</v>
      </c>
      <c r="F13" s="260">
        <f t="shared" si="10"/>
        <v>321666.66666666669</v>
      </c>
      <c r="G13" s="260">
        <f>+F13*$B$13</f>
        <v>965000</v>
      </c>
      <c r="H13" s="260">
        <f t="shared" si="11"/>
        <v>675000</v>
      </c>
      <c r="I13" s="260">
        <f t="shared" si="12"/>
        <v>202500</v>
      </c>
      <c r="J13" s="260">
        <f t="shared" si="13"/>
        <v>87500</v>
      </c>
      <c r="K13" s="260">
        <f>+G13</f>
        <v>965000</v>
      </c>
      <c r="L13" s="260">
        <v>675000</v>
      </c>
      <c r="M13" s="260">
        <v>202500</v>
      </c>
      <c r="N13" s="260">
        <v>87500</v>
      </c>
      <c r="O13" s="260">
        <f>+K13</f>
        <v>965000</v>
      </c>
      <c r="P13" s="260">
        <f>+O13</f>
        <v>965000</v>
      </c>
      <c r="Q13" s="260">
        <f t="shared" ref="Q13:Z13" si="22">+P13</f>
        <v>965000</v>
      </c>
      <c r="R13" s="260">
        <f t="shared" si="15"/>
        <v>675000</v>
      </c>
      <c r="S13" s="260">
        <f t="shared" si="16"/>
        <v>202500</v>
      </c>
      <c r="T13" s="260">
        <f t="shared" si="17"/>
        <v>87500</v>
      </c>
      <c r="U13" s="260">
        <f>+Q13</f>
        <v>965000</v>
      </c>
      <c r="V13" s="260">
        <f t="shared" si="22"/>
        <v>965000</v>
      </c>
      <c r="W13" s="260">
        <f t="shared" si="22"/>
        <v>965000</v>
      </c>
      <c r="X13" s="260">
        <f t="shared" si="22"/>
        <v>965000</v>
      </c>
      <c r="Y13" s="260">
        <f t="shared" si="22"/>
        <v>965000</v>
      </c>
      <c r="Z13" s="260">
        <f t="shared" si="22"/>
        <v>965000</v>
      </c>
      <c r="AA13" s="472">
        <f>+(E13+(C13+D13)*2)*B13</f>
        <v>1842500</v>
      </c>
      <c r="AB13" s="478">
        <f t="shared" si="7"/>
        <v>14387500</v>
      </c>
      <c r="AC13" s="474">
        <f>+C13*B13*13</f>
        <v>8775000</v>
      </c>
      <c r="AD13" s="259">
        <f>+D13*B13*13</f>
        <v>2632500</v>
      </c>
      <c r="AE13" s="258">
        <f>+E13*B13*12</f>
        <v>1050000</v>
      </c>
    </row>
    <row r="14" spans="1:31">
      <c r="A14" s="246" t="s">
        <v>249</v>
      </c>
      <c r="B14" s="271">
        <v>2</v>
      </c>
      <c r="C14" s="260">
        <v>225000</v>
      </c>
      <c r="D14" s="260">
        <f t="shared" si="8"/>
        <v>67500</v>
      </c>
      <c r="E14" s="260">
        <f t="shared" si="9"/>
        <v>29166.666666666668</v>
      </c>
      <c r="F14" s="260">
        <f t="shared" si="10"/>
        <v>321666.66666666669</v>
      </c>
      <c r="G14" s="260">
        <f>F9*$B$14</f>
        <v>578333.33333333337</v>
      </c>
      <c r="H14" s="260">
        <f>+C9*B14</f>
        <v>400000</v>
      </c>
      <c r="I14" s="260">
        <f>+D9*B14</f>
        <v>120000</v>
      </c>
      <c r="J14" s="260">
        <f t="shared" si="13"/>
        <v>58333.333333333336</v>
      </c>
      <c r="K14" s="260">
        <v>643334</v>
      </c>
      <c r="L14" s="260">
        <f>+C14*B14</f>
        <v>450000</v>
      </c>
      <c r="M14" s="260">
        <f>+D14*B14</f>
        <v>135000</v>
      </c>
      <c r="N14" s="260">
        <v>58333.333333333336</v>
      </c>
      <c r="O14" s="260">
        <f>+K14</f>
        <v>643334</v>
      </c>
      <c r="P14" s="260">
        <f>+O14</f>
        <v>643334</v>
      </c>
      <c r="Q14" s="260">
        <f t="shared" ref="Q14:Z14" si="23">+P14</f>
        <v>643334</v>
      </c>
      <c r="R14" s="260">
        <f t="shared" si="15"/>
        <v>450000</v>
      </c>
      <c r="S14" s="260">
        <f t="shared" si="16"/>
        <v>135000</v>
      </c>
      <c r="T14" s="260">
        <f t="shared" si="17"/>
        <v>58333.333333333336</v>
      </c>
      <c r="U14" s="260">
        <f>+Q14</f>
        <v>643334</v>
      </c>
      <c r="V14" s="260">
        <f t="shared" si="23"/>
        <v>643334</v>
      </c>
      <c r="W14" s="260">
        <f t="shared" si="23"/>
        <v>643334</v>
      </c>
      <c r="X14" s="260">
        <f t="shared" si="23"/>
        <v>643334</v>
      </c>
      <c r="Y14" s="260">
        <f t="shared" si="23"/>
        <v>643334</v>
      </c>
      <c r="Z14" s="260">
        <f t="shared" si="23"/>
        <v>643334</v>
      </c>
      <c r="AA14" s="472">
        <f>+(Z14*2)-(E14*2)</f>
        <v>1228334.6666666667</v>
      </c>
      <c r="AB14" s="478">
        <f t="shared" si="7"/>
        <v>9526674.666666666</v>
      </c>
      <c r="AC14" s="474">
        <f>+C14*B14*12+(200000*2)</f>
        <v>5800000</v>
      </c>
      <c r="AD14" s="259">
        <f>+D14*B14*12+(60000*2)</f>
        <v>1740000</v>
      </c>
      <c r="AE14" s="258">
        <f>+E14*B14*12</f>
        <v>700000</v>
      </c>
    </row>
    <row r="15" spans="1:31">
      <c r="A15" s="267" t="s">
        <v>237</v>
      </c>
      <c r="B15" s="271"/>
      <c r="C15" s="260"/>
      <c r="D15" s="260"/>
      <c r="E15" s="260"/>
      <c r="F15" s="260"/>
      <c r="G15" s="260"/>
      <c r="H15" s="260">
        <f t="shared" si="11"/>
        <v>0</v>
      </c>
      <c r="I15" s="260">
        <f t="shared" si="12"/>
        <v>0</v>
      </c>
      <c r="J15" s="260">
        <f t="shared" si="13"/>
        <v>0</v>
      </c>
      <c r="K15" s="260"/>
      <c r="L15" s="260">
        <v>0</v>
      </c>
      <c r="M15" s="260">
        <v>0</v>
      </c>
      <c r="N15" s="260">
        <v>0</v>
      </c>
      <c r="O15" s="260"/>
      <c r="P15" s="260"/>
      <c r="Q15" s="260"/>
      <c r="R15" s="260">
        <f t="shared" si="15"/>
        <v>0</v>
      </c>
      <c r="S15" s="260">
        <f t="shared" si="16"/>
        <v>0</v>
      </c>
      <c r="T15" s="260">
        <f t="shared" si="17"/>
        <v>0</v>
      </c>
      <c r="U15" s="260"/>
      <c r="V15" s="260"/>
      <c r="W15" s="260"/>
      <c r="X15" s="260"/>
      <c r="Y15" s="260"/>
      <c r="Z15" s="260"/>
      <c r="AA15" s="472"/>
      <c r="AB15" s="478">
        <f t="shared" si="7"/>
        <v>0</v>
      </c>
      <c r="AC15" s="474"/>
      <c r="AD15" s="259"/>
      <c r="AE15" s="258"/>
    </row>
    <row r="16" spans="1:31">
      <c r="A16" s="247" t="s">
        <v>235</v>
      </c>
      <c r="B16" s="271">
        <v>1</v>
      </c>
      <c r="C16" s="260">
        <v>240000</v>
      </c>
      <c r="D16" s="260">
        <f t="shared" si="8"/>
        <v>72000</v>
      </c>
      <c r="E16" s="260">
        <f t="shared" si="9"/>
        <v>29166.666666666668</v>
      </c>
      <c r="F16" s="260">
        <f t="shared" si="10"/>
        <v>341166.66666666669</v>
      </c>
      <c r="G16" s="260">
        <f>+F16*$B$16</f>
        <v>341166.66666666669</v>
      </c>
      <c r="H16" s="260">
        <f t="shared" si="11"/>
        <v>240000</v>
      </c>
      <c r="I16" s="260">
        <f t="shared" si="12"/>
        <v>72000</v>
      </c>
      <c r="J16" s="260">
        <f t="shared" si="13"/>
        <v>29166.666666666668</v>
      </c>
      <c r="K16" s="260">
        <f>+G16</f>
        <v>341166.66666666669</v>
      </c>
      <c r="L16" s="260">
        <v>240000</v>
      </c>
      <c r="M16" s="260">
        <v>72000</v>
      </c>
      <c r="N16" s="260">
        <v>29166.666666666668</v>
      </c>
      <c r="O16" s="260">
        <f>+K16</f>
        <v>341166.66666666669</v>
      </c>
      <c r="P16" s="260">
        <f>+O16</f>
        <v>341166.66666666669</v>
      </c>
      <c r="Q16" s="260">
        <f t="shared" ref="Q16:Z16" si="24">+P16</f>
        <v>341166.66666666669</v>
      </c>
      <c r="R16" s="260">
        <f t="shared" si="15"/>
        <v>240000</v>
      </c>
      <c r="S16" s="260">
        <f t="shared" si="16"/>
        <v>72000</v>
      </c>
      <c r="T16" s="260">
        <f t="shared" si="17"/>
        <v>29166.666666666668</v>
      </c>
      <c r="U16" s="260">
        <f>+Q16</f>
        <v>341166.66666666669</v>
      </c>
      <c r="V16" s="260">
        <f t="shared" si="24"/>
        <v>341166.66666666669</v>
      </c>
      <c r="W16" s="260">
        <f t="shared" si="24"/>
        <v>341166.66666666669</v>
      </c>
      <c r="X16" s="260">
        <f t="shared" si="24"/>
        <v>341166.66666666669</v>
      </c>
      <c r="Y16" s="260">
        <f t="shared" si="24"/>
        <v>341166.66666666669</v>
      </c>
      <c r="Z16" s="260">
        <f t="shared" si="24"/>
        <v>341166.66666666669</v>
      </c>
      <c r="AA16" s="472">
        <f>+(E16+(C16+D16)*2)*B16</f>
        <v>653166.66666666663</v>
      </c>
      <c r="AB16" s="478">
        <f t="shared" si="7"/>
        <v>5088333.333333333</v>
      </c>
      <c r="AC16" s="474">
        <f>+C16*B16*13</f>
        <v>3120000</v>
      </c>
      <c r="AD16" s="259">
        <f>+D16*B16*13</f>
        <v>936000</v>
      </c>
      <c r="AE16" s="258">
        <f>+E16*B16*12</f>
        <v>350000</v>
      </c>
    </row>
    <row r="17" spans="1:31">
      <c r="A17" s="246" t="s">
        <v>233</v>
      </c>
      <c r="B17" s="271">
        <v>1</v>
      </c>
      <c r="C17" s="260">
        <v>200000</v>
      </c>
      <c r="D17" s="260">
        <f t="shared" si="8"/>
        <v>60000</v>
      </c>
      <c r="E17" s="260">
        <f t="shared" si="9"/>
        <v>29166.666666666668</v>
      </c>
      <c r="F17" s="260">
        <f t="shared" si="10"/>
        <v>289166.66666666669</v>
      </c>
      <c r="G17" s="260">
        <f>+F17*$B$17</f>
        <v>289166.66666666669</v>
      </c>
      <c r="H17" s="260">
        <f t="shared" si="11"/>
        <v>200000</v>
      </c>
      <c r="I17" s="260">
        <f t="shared" si="12"/>
        <v>60000</v>
      </c>
      <c r="J17" s="260">
        <f t="shared" si="13"/>
        <v>29166.666666666668</v>
      </c>
      <c r="K17" s="260">
        <f>+G17</f>
        <v>289166.66666666669</v>
      </c>
      <c r="L17" s="260">
        <v>200000</v>
      </c>
      <c r="M17" s="260">
        <v>60000</v>
      </c>
      <c r="N17" s="260">
        <v>29166.666666666668</v>
      </c>
      <c r="O17" s="260">
        <f>+K17</f>
        <v>289166.66666666669</v>
      </c>
      <c r="P17" s="260">
        <f>+O17</f>
        <v>289166.66666666669</v>
      </c>
      <c r="Q17" s="260">
        <f t="shared" ref="Q17:Z17" si="25">+P17</f>
        <v>289166.66666666669</v>
      </c>
      <c r="R17" s="260">
        <f t="shared" si="15"/>
        <v>200000</v>
      </c>
      <c r="S17" s="260">
        <f t="shared" si="16"/>
        <v>60000</v>
      </c>
      <c r="T17" s="260">
        <f t="shared" si="17"/>
        <v>29166.666666666668</v>
      </c>
      <c r="U17" s="260">
        <f>+Q17</f>
        <v>289166.66666666669</v>
      </c>
      <c r="V17" s="260">
        <f t="shared" si="25"/>
        <v>289166.66666666669</v>
      </c>
      <c r="W17" s="260">
        <f t="shared" si="25"/>
        <v>289166.66666666669</v>
      </c>
      <c r="X17" s="260">
        <f t="shared" si="25"/>
        <v>289166.66666666669</v>
      </c>
      <c r="Y17" s="260">
        <f t="shared" si="25"/>
        <v>289166.66666666669</v>
      </c>
      <c r="Z17" s="260">
        <f t="shared" si="25"/>
        <v>289166.66666666669</v>
      </c>
      <c r="AA17" s="472">
        <f>+(E17+(C17+D17)*2)*B17</f>
        <v>549166.66666666663</v>
      </c>
      <c r="AB17" s="478">
        <f t="shared" si="7"/>
        <v>4308333.333333333</v>
      </c>
      <c r="AC17" s="474">
        <f>+C17*B17*13</f>
        <v>2600000</v>
      </c>
      <c r="AD17" s="259">
        <f>+D17*B17*13</f>
        <v>780000</v>
      </c>
      <c r="AE17" s="258">
        <f>+E17*B17*12</f>
        <v>350000</v>
      </c>
    </row>
    <row r="18" spans="1:31">
      <c r="A18" s="275" t="s">
        <v>231</v>
      </c>
      <c r="B18" s="271"/>
      <c r="C18" s="260"/>
      <c r="D18" s="260"/>
      <c r="E18" s="260"/>
      <c r="F18" s="260"/>
      <c r="G18" s="260"/>
      <c r="H18" s="260">
        <f t="shared" si="11"/>
        <v>0</v>
      </c>
      <c r="I18" s="260">
        <f t="shared" si="12"/>
        <v>0</v>
      </c>
      <c r="J18" s="260">
        <f t="shared" si="13"/>
        <v>0</v>
      </c>
      <c r="K18" s="260"/>
      <c r="L18" s="260">
        <v>0</v>
      </c>
      <c r="M18" s="260">
        <v>0</v>
      </c>
      <c r="N18" s="260">
        <v>0</v>
      </c>
      <c r="O18" s="260"/>
      <c r="P18" s="260"/>
      <c r="Q18" s="260"/>
      <c r="R18" s="260">
        <f t="shared" si="15"/>
        <v>0</v>
      </c>
      <c r="S18" s="260">
        <f t="shared" si="16"/>
        <v>0</v>
      </c>
      <c r="T18" s="260">
        <f t="shared" si="17"/>
        <v>0</v>
      </c>
      <c r="U18" s="260"/>
      <c r="V18" s="260"/>
      <c r="W18" s="260"/>
      <c r="X18" s="260"/>
      <c r="Y18" s="260"/>
      <c r="Z18" s="260"/>
      <c r="AA18" s="472"/>
      <c r="AB18" s="478">
        <f t="shared" si="7"/>
        <v>0</v>
      </c>
      <c r="AC18" s="474"/>
      <c r="AD18" s="259"/>
      <c r="AE18" s="258"/>
    </row>
    <row r="19" spans="1:31">
      <c r="A19" s="246" t="s">
        <v>229</v>
      </c>
      <c r="B19" s="271">
        <v>1</v>
      </c>
      <c r="C19" s="260">
        <v>500000</v>
      </c>
      <c r="D19" s="260">
        <f t="shared" si="8"/>
        <v>150000</v>
      </c>
      <c r="E19" s="260">
        <f t="shared" si="9"/>
        <v>29166.666666666668</v>
      </c>
      <c r="F19" s="260">
        <f t="shared" si="10"/>
        <v>679166.66666666663</v>
      </c>
      <c r="G19" s="260">
        <f>+F19*$B$19</f>
        <v>679166.66666666663</v>
      </c>
      <c r="H19" s="260">
        <f t="shared" si="11"/>
        <v>500000</v>
      </c>
      <c r="I19" s="260">
        <f t="shared" si="12"/>
        <v>150000</v>
      </c>
      <c r="J19" s="260">
        <f t="shared" si="13"/>
        <v>29166.666666666668</v>
      </c>
      <c r="K19" s="260">
        <f>+G19</f>
        <v>679166.66666666663</v>
      </c>
      <c r="L19" s="260">
        <v>500000</v>
      </c>
      <c r="M19" s="260">
        <v>150000</v>
      </c>
      <c r="N19" s="260">
        <v>29166.666666666668</v>
      </c>
      <c r="O19" s="260">
        <f>+K19</f>
        <v>679166.66666666663</v>
      </c>
      <c r="P19" s="260">
        <f>+O19</f>
        <v>679166.66666666663</v>
      </c>
      <c r="Q19" s="260">
        <f t="shared" ref="Q19:Z19" si="26">+P19</f>
        <v>679166.66666666663</v>
      </c>
      <c r="R19" s="260">
        <f t="shared" si="15"/>
        <v>500000</v>
      </c>
      <c r="S19" s="260">
        <f t="shared" si="16"/>
        <v>150000</v>
      </c>
      <c r="T19" s="260">
        <f t="shared" si="17"/>
        <v>29166.666666666668</v>
      </c>
      <c r="U19" s="260">
        <f>+Q19</f>
        <v>679166.66666666663</v>
      </c>
      <c r="V19" s="260">
        <f t="shared" si="26"/>
        <v>679166.66666666663</v>
      </c>
      <c r="W19" s="260">
        <f t="shared" si="26"/>
        <v>679166.66666666663</v>
      </c>
      <c r="X19" s="260">
        <f t="shared" si="26"/>
        <v>679166.66666666663</v>
      </c>
      <c r="Y19" s="260">
        <f t="shared" si="26"/>
        <v>679166.66666666663</v>
      </c>
      <c r="Z19" s="260">
        <f t="shared" si="26"/>
        <v>679166.66666666663</v>
      </c>
      <c r="AA19" s="472">
        <f>+(E19+(C19+D19)*2)*B19</f>
        <v>1329166.6666666667</v>
      </c>
      <c r="AB19" s="478">
        <f t="shared" si="7"/>
        <v>10158333.333333334</v>
      </c>
      <c r="AC19" s="474">
        <f>+C19*B19*13</f>
        <v>6500000</v>
      </c>
      <c r="AD19" s="259">
        <f>+D19*B19*13</f>
        <v>1950000</v>
      </c>
      <c r="AE19" s="258">
        <f>+E19*B19*12</f>
        <v>350000</v>
      </c>
    </row>
    <row r="20" spans="1:31">
      <c r="A20" s="246" t="s">
        <v>228</v>
      </c>
      <c r="B20" s="271">
        <v>1</v>
      </c>
      <c r="C20" s="260">
        <v>350000</v>
      </c>
      <c r="D20" s="260">
        <f t="shared" si="8"/>
        <v>105000</v>
      </c>
      <c r="E20" s="260">
        <f t="shared" si="9"/>
        <v>29166.666666666668</v>
      </c>
      <c r="F20" s="260">
        <f t="shared" si="10"/>
        <v>484166.66666666669</v>
      </c>
      <c r="G20" s="260">
        <f>+F20*$B$20</f>
        <v>484166.66666666669</v>
      </c>
      <c r="H20" s="260">
        <f t="shared" si="11"/>
        <v>350000</v>
      </c>
      <c r="I20" s="260">
        <f t="shared" si="12"/>
        <v>105000</v>
      </c>
      <c r="J20" s="260">
        <f t="shared" si="13"/>
        <v>29166.666666666668</v>
      </c>
      <c r="K20" s="260">
        <f>+G20</f>
        <v>484166.66666666669</v>
      </c>
      <c r="L20" s="260">
        <v>350000</v>
      </c>
      <c r="M20" s="260">
        <v>105000</v>
      </c>
      <c r="N20" s="260">
        <v>29166.666666666668</v>
      </c>
      <c r="O20" s="260">
        <f>+K20</f>
        <v>484166.66666666669</v>
      </c>
      <c r="P20" s="260">
        <f>+O20</f>
        <v>484166.66666666669</v>
      </c>
      <c r="Q20" s="260">
        <f t="shared" ref="Q20:Z20" si="27">+P20</f>
        <v>484166.66666666669</v>
      </c>
      <c r="R20" s="260">
        <f t="shared" si="15"/>
        <v>350000</v>
      </c>
      <c r="S20" s="260">
        <f t="shared" si="16"/>
        <v>105000</v>
      </c>
      <c r="T20" s="260">
        <f t="shared" si="17"/>
        <v>29166.666666666668</v>
      </c>
      <c r="U20" s="260">
        <f>+Q20</f>
        <v>484166.66666666669</v>
      </c>
      <c r="V20" s="260">
        <f t="shared" si="27"/>
        <v>484166.66666666669</v>
      </c>
      <c r="W20" s="260">
        <f t="shared" si="27"/>
        <v>484166.66666666669</v>
      </c>
      <c r="X20" s="260">
        <f t="shared" si="27"/>
        <v>484166.66666666669</v>
      </c>
      <c r="Y20" s="260">
        <f t="shared" si="27"/>
        <v>484166.66666666669</v>
      </c>
      <c r="Z20" s="260">
        <f t="shared" si="27"/>
        <v>484166.66666666669</v>
      </c>
      <c r="AA20" s="472">
        <f>+(E20+(C20+D20)*2)*B20</f>
        <v>939166.66666666663</v>
      </c>
      <c r="AB20" s="478">
        <f t="shared" si="7"/>
        <v>7233333.3333333349</v>
      </c>
      <c r="AC20" s="474">
        <f>+C20*B20*13</f>
        <v>4550000</v>
      </c>
      <c r="AD20" s="259">
        <f>+D20*B20*13</f>
        <v>1365000</v>
      </c>
      <c r="AE20" s="258">
        <f>+E20*B20*12</f>
        <v>350000</v>
      </c>
    </row>
    <row r="21" spans="1:31">
      <c r="A21" s="246" t="s">
        <v>226</v>
      </c>
      <c r="B21" s="271">
        <v>1</v>
      </c>
      <c r="C21" s="260">
        <v>225000</v>
      </c>
      <c r="D21" s="260">
        <f t="shared" si="8"/>
        <v>67500</v>
      </c>
      <c r="E21" s="260">
        <f t="shared" si="9"/>
        <v>29166.666666666668</v>
      </c>
      <c r="F21" s="260">
        <f t="shared" si="10"/>
        <v>321666.66666666669</v>
      </c>
      <c r="G21" s="260">
        <f>+F21*$B$21</f>
        <v>321666.66666666669</v>
      </c>
      <c r="H21" s="260">
        <f t="shared" si="11"/>
        <v>225000</v>
      </c>
      <c r="I21" s="260">
        <f t="shared" si="12"/>
        <v>67500</v>
      </c>
      <c r="J21" s="260">
        <f t="shared" si="13"/>
        <v>29166.666666666668</v>
      </c>
      <c r="K21" s="260">
        <f>+G21</f>
        <v>321666.66666666669</v>
      </c>
      <c r="L21" s="260">
        <v>225000</v>
      </c>
      <c r="M21" s="260">
        <v>67500</v>
      </c>
      <c r="N21" s="260">
        <v>29166.666666666668</v>
      </c>
      <c r="O21" s="260">
        <f>+K21</f>
        <v>321666.66666666669</v>
      </c>
      <c r="P21" s="260">
        <f>+O21</f>
        <v>321666.66666666669</v>
      </c>
      <c r="Q21" s="260">
        <f t="shared" ref="Q21:Z21" si="28">+P21</f>
        <v>321666.66666666669</v>
      </c>
      <c r="R21" s="260">
        <f t="shared" si="15"/>
        <v>225000</v>
      </c>
      <c r="S21" s="260">
        <f t="shared" si="16"/>
        <v>67500</v>
      </c>
      <c r="T21" s="260">
        <f t="shared" si="17"/>
        <v>29166.666666666668</v>
      </c>
      <c r="U21" s="260">
        <f>+Q21</f>
        <v>321666.66666666669</v>
      </c>
      <c r="V21" s="260">
        <f t="shared" si="28"/>
        <v>321666.66666666669</v>
      </c>
      <c r="W21" s="260">
        <f t="shared" si="28"/>
        <v>321666.66666666669</v>
      </c>
      <c r="X21" s="260">
        <f t="shared" si="28"/>
        <v>321666.66666666669</v>
      </c>
      <c r="Y21" s="260">
        <f t="shared" si="28"/>
        <v>321666.66666666669</v>
      </c>
      <c r="Z21" s="260">
        <f t="shared" si="28"/>
        <v>321666.66666666669</v>
      </c>
      <c r="AA21" s="472">
        <f>+(E21+(C21+D21)*2)*B21</f>
        <v>614166.66666666663</v>
      </c>
      <c r="AB21" s="478">
        <f t="shared" si="7"/>
        <v>4795833.3333333321</v>
      </c>
      <c r="AC21" s="474">
        <f>+C21*B21*13</f>
        <v>2925000</v>
      </c>
      <c r="AD21" s="259">
        <f>+D21*B21*13</f>
        <v>877500</v>
      </c>
      <c r="AE21" s="258">
        <f>+E21*B21*12</f>
        <v>350000</v>
      </c>
    </row>
    <row r="22" spans="1:31">
      <c r="A22" s="246" t="s">
        <v>223</v>
      </c>
      <c r="B22" s="273">
        <v>1</v>
      </c>
      <c r="C22" s="229">
        <v>220000</v>
      </c>
      <c r="D22" s="260">
        <f t="shared" si="8"/>
        <v>66000</v>
      </c>
      <c r="E22" s="260">
        <f t="shared" si="9"/>
        <v>29166.666666666668</v>
      </c>
      <c r="F22" s="260">
        <f t="shared" si="10"/>
        <v>315166.66666666669</v>
      </c>
      <c r="G22" s="260">
        <f>+F22*$B$22</f>
        <v>315166.66666666669</v>
      </c>
      <c r="H22" s="260">
        <f t="shared" si="11"/>
        <v>220000</v>
      </c>
      <c r="I22" s="260">
        <f t="shared" si="12"/>
        <v>66000</v>
      </c>
      <c r="J22" s="260">
        <f t="shared" si="13"/>
        <v>29166.666666666668</v>
      </c>
      <c r="K22" s="260">
        <f>+G22</f>
        <v>315166.66666666669</v>
      </c>
      <c r="L22" s="260">
        <v>220000</v>
      </c>
      <c r="M22" s="260">
        <v>66000</v>
      </c>
      <c r="N22" s="260">
        <v>29166.666666666668</v>
      </c>
      <c r="O22" s="260">
        <f>+K22</f>
        <v>315166.66666666669</v>
      </c>
      <c r="P22" s="260">
        <f>+O22</f>
        <v>315166.66666666669</v>
      </c>
      <c r="Q22" s="260">
        <f t="shared" ref="Q22:Z22" si="29">+P22</f>
        <v>315166.66666666669</v>
      </c>
      <c r="R22" s="260">
        <f t="shared" si="15"/>
        <v>220000</v>
      </c>
      <c r="S22" s="260">
        <f t="shared" si="16"/>
        <v>66000</v>
      </c>
      <c r="T22" s="260">
        <f t="shared" si="17"/>
        <v>29166.666666666668</v>
      </c>
      <c r="U22" s="260">
        <f>+Q22</f>
        <v>315166.66666666669</v>
      </c>
      <c r="V22" s="260">
        <f t="shared" si="29"/>
        <v>315166.66666666669</v>
      </c>
      <c r="W22" s="260">
        <f t="shared" si="29"/>
        <v>315166.66666666669</v>
      </c>
      <c r="X22" s="260">
        <f t="shared" si="29"/>
        <v>315166.66666666669</v>
      </c>
      <c r="Y22" s="260">
        <f t="shared" si="29"/>
        <v>315166.66666666669</v>
      </c>
      <c r="Z22" s="260">
        <f t="shared" si="29"/>
        <v>315166.66666666669</v>
      </c>
      <c r="AA22" s="472">
        <f>+(E22+(C22+D22)*2)*B22</f>
        <v>601166.66666666663</v>
      </c>
      <c r="AB22" s="478">
        <f t="shared" si="7"/>
        <v>4698333.3333333321</v>
      </c>
      <c r="AC22" s="474">
        <f>+C22*B22*13</f>
        <v>2860000</v>
      </c>
      <c r="AD22" s="259">
        <f>+D22*B22*13</f>
        <v>858000</v>
      </c>
      <c r="AE22" s="258">
        <f>+E22*B22*12</f>
        <v>350000</v>
      </c>
    </row>
    <row r="23" spans="1:31">
      <c r="A23" s="244" t="s">
        <v>220</v>
      </c>
      <c r="B23" s="268"/>
      <c r="C23" s="260"/>
      <c r="D23" s="260"/>
      <c r="E23" s="260"/>
      <c r="F23" s="260"/>
      <c r="G23" s="260"/>
      <c r="H23" s="260">
        <f t="shared" si="11"/>
        <v>0</v>
      </c>
      <c r="I23" s="260">
        <f t="shared" si="12"/>
        <v>0</v>
      </c>
      <c r="J23" s="260">
        <f t="shared" si="13"/>
        <v>0</v>
      </c>
      <c r="K23" s="260"/>
      <c r="L23" s="260">
        <v>0</v>
      </c>
      <c r="M23" s="260">
        <v>0</v>
      </c>
      <c r="N23" s="260">
        <v>0</v>
      </c>
      <c r="O23" s="260"/>
      <c r="P23" s="260"/>
      <c r="Q23" s="260"/>
      <c r="R23" s="260">
        <f t="shared" si="15"/>
        <v>0</v>
      </c>
      <c r="S23" s="260">
        <f t="shared" si="16"/>
        <v>0</v>
      </c>
      <c r="T23" s="260">
        <f t="shared" si="17"/>
        <v>0</v>
      </c>
      <c r="U23" s="260"/>
      <c r="V23" s="260"/>
      <c r="W23" s="260"/>
      <c r="X23" s="260"/>
      <c r="Y23" s="260"/>
      <c r="Z23" s="260"/>
      <c r="AA23" s="472"/>
      <c r="AB23" s="478">
        <f t="shared" si="7"/>
        <v>0</v>
      </c>
      <c r="AC23" s="474"/>
      <c r="AD23" s="259"/>
      <c r="AE23" s="258"/>
    </row>
    <row r="24" spans="1:31">
      <c r="A24" s="247" t="s">
        <v>219</v>
      </c>
      <c r="B24" s="271">
        <v>1</v>
      </c>
      <c r="C24" s="260">
        <v>500000</v>
      </c>
      <c r="D24" s="260">
        <f t="shared" si="8"/>
        <v>150000</v>
      </c>
      <c r="E24" s="260">
        <f t="shared" si="9"/>
        <v>29166.666666666668</v>
      </c>
      <c r="F24" s="260">
        <f t="shared" si="10"/>
        <v>679166.66666666663</v>
      </c>
      <c r="G24" s="260">
        <f>+F24*$B$24</f>
        <v>679166.66666666663</v>
      </c>
      <c r="H24" s="260">
        <f t="shared" si="11"/>
        <v>500000</v>
      </c>
      <c r="I24" s="260">
        <f t="shared" si="12"/>
        <v>150000</v>
      </c>
      <c r="J24" s="260">
        <f t="shared" si="13"/>
        <v>29166.666666666668</v>
      </c>
      <c r="K24" s="260">
        <f>+G24</f>
        <v>679166.66666666663</v>
      </c>
      <c r="L24" s="260">
        <v>500000</v>
      </c>
      <c r="M24" s="260">
        <v>150000</v>
      </c>
      <c r="N24" s="260">
        <v>29166.666666666668</v>
      </c>
      <c r="O24" s="260">
        <f>+K24</f>
        <v>679166.66666666663</v>
      </c>
      <c r="P24" s="260">
        <f>+O24</f>
        <v>679166.66666666663</v>
      </c>
      <c r="Q24" s="260">
        <f t="shared" ref="Q24:Z24" si="30">+P24</f>
        <v>679166.66666666663</v>
      </c>
      <c r="R24" s="260">
        <f t="shared" si="15"/>
        <v>500000</v>
      </c>
      <c r="S24" s="260">
        <f t="shared" si="16"/>
        <v>150000</v>
      </c>
      <c r="T24" s="260">
        <f t="shared" si="17"/>
        <v>29166.666666666668</v>
      </c>
      <c r="U24" s="260">
        <f>+Q24</f>
        <v>679166.66666666663</v>
      </c>
      <c r="V24" s="260">
        <f t="shared" si="30"/>
        <v>679166.66666666663</v>
      </c>
      <c r="W24" s="260">
        <f t="shared" si="30"/>
        <v>679166.66666666663</v>
      </c>
      <c r="X24" s="260">
        <f t="shared" si="30"/>
        <v>679166.66666666663</v>
      </c>
      <c r="Y24" s="260">
        <f t="shared" si="30"/>
        <v>679166.66666666663</v>
      </c>
      <c r="Z24" s="260">
        <f t="shared" si="30"/>
        <v>679166.66666666663</v>
      </c>
      <c r="AA24" s="472">
        <f>+(E24+(C24+D24)*2)*B24</f>
        <v>1329166.6666666667</v>
      </c>
      <c r="AB24" s="478">
        <f t="shared" si="7"/>
        <v>10158333.333333334</v>
      </c>
      <c r="AC24" s="474">
        <f>+C24*B24*13</f>
        <v>6500000</v>
      </c>
      <c r="AD24" s="259">
        <f>+D24*B24*13</f>
        <v>1950000</v>
      </c>
      <c r="AE24" s="258">
        <f>+E24*B24*12</f>
        <v>350000</v>
      </c>
    </row>
    <row r="25" spans="1:31">
      <c r="A25" s="247" t="s">
        <v>218</v>
      </c>
      <c r="B25" s="271">
        <v>2</v>
      </c>
      <c r="C25" s="260">
        <v>270000</v>
      </c>
      <c r="D25" s="260">
        <f t="shared" si="8"/>
        <v>81000</v>
      </c>
      <c r="E25" s="260">
        <f t="shared" si="9"/>
        <v>29166.666666666668</v>
      </c>
      <c r="F25" s="260">
        <f t="shared" si="10"/>
        <v>380166.66666666669</v>
      </c>
      <c r="G25" s="260">
        <f>+F25*$B$25</f>
        <v>760333.33333333337</v>
      </c>
      <c r="H25" s="260">
        <f t="shared" si="11"/>
        <v>540000</v>
      </c>
      <c r="I25" s="260">
        <f t="shared" si="12"/>
        <v>162000</v>
      </c>
      <c r="J25" s="260">
        <f t="shared" si="13"/>
        <v>58333.333333333336</v>
      </c>
      <c r="K25" s="260">
        <f>+G25</f>
        <v>760333.33333333337</v>
      </c>
      <c r="L25" s="260">
        <v>540000</v>
      </c>
      <c r="M25" s="260">
        <v>162000</v>
      </c>
      <c r="N25" s="260">
        <v>58333.333333333336</v>
      </c>
      <c r="O25" s="260">
        <f>+K25</f>
        <v>760333.33333333337</v>
      </c>
      <c r="P25" s="260">
        <f>+O25</f>
        <v>760333.33333333337</v>
      </c>
      <c r="Q25" s="260">
        <f t="shared" ref="Q25:Z25" si="31">+P25</f>
        <v>760333.33333333337</v>
      </c>
      <c r="R25" s="260">
        <f t="shared" si="15"/>
        <v>540000</v>
      </c>
      <c r="S25" s="260">
        <f t="shared" si="16"/>
        <v>162000</v>
      </c>
      <c r="T25" s="260">
        <f t="shared" si="17"/>
        <v>58333.333333333336</v>
      </c>
      <c r="U25" s="260">
        <f>+Q25</f>
        <v>760333.33333333337</v>
      </c>
      <c r="V25" s="260">
        <f t="shared" si="31"/>
        <v>760333.33333333337</v>
      </c>
      <c r="W25" s="260">
        <f t="shared" si="31"/>
        <v>760333.33333333337</v>
      </c>
      <c r="X25" s="260">
        <f t="shared" si="31"/>
        <v>760333.33333333337</v>
      </c>
      <c r="Y25" s="260">
        <f t="shared" si="31"/>
        <v>760333.33333333337</v>
      </c>
      <c r="Z25" s="260">
        <f t="shared" si="31"/>
        <v>760333.33333333337</v>
      </c>
      <c r="AA25" s="472">
        <f>+(E25+(C25+D25)*2)*B25</f>
        <v>1462333.3333333333</v>
      </c>
      <c r="AB25" s="478">
        <f t="shared" si="7"/>
        <v>11346666.666666668</v>
      </c>
      <c r="AC25" s="474">
        <f>+C25*B25*13</f>
        <v>7020000</v>
      </c>
      <c r="AD25" s="259">
        <f>+D25*B25*13</f>
        <v>2106000</v>
      </c>
      <c r="AE25" s="258">
        <f>+E25*B25*12</f>
        <v>700000</v>
      </c>
    </row>
    <row r="26" spans="1:31">
      <c r="A26" s="246" t="s">
        <v>236</v>
      </c>
      <c r="B26" s="271">
        <v>45</v>
      </c>
      <c r="C26" s="260">
        <v>150000</v>
      </c>
      <c r="D26" s="260">
        <f t="shared" si="8"/>
        <v>45000</v>
      </c>
      <c r="E26" s="260">
        <f t="shared" si="9"/>
        <v>29166.666666666668</v>
      </c>
      <c r="F26" s="260">
        <f t="shared" si="10"/>
        <v>224166.66666666666</v>
      </c>
      <c r="G26" s="260">
        <f>+F26*$B$26</f>
        <v>10087500</v>
      </c>
      <c r="H26" s="260">
        <f t="shared" si="11"/>
        <v>6750000</v>
      </c>
      <c r="I26" s="260">
        <f t="shared" si="12"/>
        <v>2025000</v>
      </c>
      <c r="J26" s="260">
        <f t="shared" si="13"/>
        <v>1312500</v>
      </c>
      <c r="K26" s="260">
        <f>+G26</f>
        <v>10087500</v>
      </c>
      <c r="L26" s="260">
        <v>6750000</v>
      </c>
      <c r="M26" s="260">
        <v>2025000</v>
      </c>
      <c r="N26" s="260">
        <v>1312500</v>
      </c>
      <c r="O26" s="260">
        <f>+K26</f>
        <v>10087500</v>
      </c>
      <c r="P26" s="260">
        <f>+O26</f>
        <v>10087500</v>
      </c>
      <c r="Q26" s="260">
        <f t="shared" ref="Q26:Z27" si="32">+P26</f>
        <v>10087500</v>
      </c>
      <c r="R26" s="260">
        <f t="shared" si="15"/>
        <v>6750000</v>
      </c>
      <c r="S26" s="260">
        <f t="shared" si="16"/>
        <v>2025000</v>
      </c>
      <c r="T26" s="260">
        <f t="shared" si="17"/>
        <v>1312500</v>
      </c>
      <c r="U26" s="260">
        <f>+Q26</f>
        <v>10087500</v>
      </c>
      <c r="V26" s="260">
        <f t="shared" si="32"/>
        <v>10087500</v>
      </c>
      <c r="W26" s="260">
        <f t="shared" si="32"/>
        <v>10087500</v>
      </c>
      <c r="X26" s="260">
        <f t="shared" si="32"/>
        <v>10087500</v>
      </c>
      <c r="Y26" s="260">
        <f t="shared" si="32"/>
        <v>10087500</v>
      </c>
      <c r="Z26" s="260">
        <f t="shared" si="32"/>
        <v>10087500</v>
      </c>
      <c r="AA26" s="472">
        <f>+(E26+(C26+D26)*2)*B26</f>
        <v>18862500</v>
      </c>
      <c r="AB26" s="478">
        <f t="shared" si="7"/>
        <v>150000000</v>
      </c>
      <c r="AC26" s="474">
        <f>+C26*B26*13</f>
        <v>87750000</v>
      </c>
      <c r="AD26" s="259">
        <f>+D26*B26*13</f>
        <v>26325000</v>
      </c>
      <c r="AE26" s="258">
        <f>+E26*B26*12</f>
        <v>15750000</v>
      </c>
    </row>
    <row r="27" spans="1:31">
      <c r="A27" s="277" t="s">
        <v>230</v>
      </c>
      <c r="B27" s="276">
        <v>1</v>
      </c>
      <c r="C27" s="279">
        <v>180000</v>
      </c>
      <c r="D27" s="279">
        <f t="shared" si="8"/>
        <v>54000</v>
      </c>
      <c r="E27" s="260">
        <f t="shared" si="9"/>
        <v>29166.666666666668</v>
      </c>
      <c r="F27" s="279">
        <f t="shared" si="10"/>
        <v>263166.66666666669</v>
      </c>
      <c r="G27" s="279">
        <f>+F27*B27</f>
        <v>263166.66666666669</v>
      </c>
      <c r="H27" s="260">
        <f t="shared" si="11"/>
        <v>180000</v>
      </c>
      <c r="I27" s="260">
        <f t="shared" si="12"/>
        <v>54000</v>
      </c>
      <c r="J27" s="260">
        <f t="shared" si="13"/>
        <v>29166.666666666668</v>
      </c>
      <c r="K27" s="467">
        <f>+G27</f>
        <v>263166.66666666669</v>
      </c>
      <c r="L27" s="467">
        <v>180000</v>
      </c>
      <c r="M27" s="467">
        <v>54000</v>
      </c>
      <c r="N27" s="467">
        <v>29166.666666666668</v>
      </c>
      <c r="O27" s="467">
        <f>+K27</f>
        <v>263166.66666666669</v>
      </c>
      <c r="P27" s="467">
        <f>+O27</f>
        <v>263166.66666666669</v>
      </c>
      <c r="Q27" s="467">
        <f t="shared" si="32"/>
        <v>263166.66666666669</v>
      </c>
      <c r="R27" s="260">
        <f t="shared" si="15"/>
        <v>180000</v>
      </c>
      <c r="S27" s="260">
        <f t="shared" si="16"/>
        <v>54000</v>
      </c>
      <c r="T27" s="260">
        <f t="shared" si="17"/>
        <v>29166.666666666668</v>
      </c>
      <c r="U27" s="467">
        <f>+Q27</f>
        <v>263166.66666666669</v>
      </c>
      <c r="V27" s="467">
        <f t="shared" si="32"/>
        <v>263166.66666666669</v>
      </c>
      <c r="W27" s="467">
        <f t="shared" si="32"/>
        <v>263166.66666666669</v>
      </c>
      <c r="X27" s="467">
        <f t="shared" si="32"/>
        <v>263166.66666666669</v>
      </c>
      <c r="Y27" s="281">
        <f t="shared" si="32"/>
        <v>263166.66666666669</v>
      </c>
      <c r="Z27" s="281">
        <f t="shared" si="32"/>
        <v>263166.66666666669</v>
      </c>
      <c r="AA27" s="472">
        <f>+(E27+(C27+D27)*2)*B27</f>
        <v>497166.66666666669</v>
      </c>
      <c r="AB27" s="478">
        <f t="shared" si="7"/>
        <v>3918333.3333333326</v>
      </c>
      <c r="AC27" s="475">
        <f>+C27*B27*13</f>
        <v>2340000</v>
      </c>
      <c r="AD27" s="280">
        <f>+D27*B27*13</f>
        <v>702000</v>
      </c>
      <c r="AE27" s="258">
        <f>+E27*B27*12</f>
        <v>350000</v>
      </c>
    </row>
    <row r="28" spans="1:31">
      <c r="A28" s="466" t="s">
        <v>379</v>
      </c>
      <c r="B28" s="468">
        <v>10</v>
      </c>
      <c r="C28" s="469">
        <v>180000</v>
      </c>
      <c r="D28" s="469">
        <f t="shared" si="8"/>
        <v>54000</v>
      </c>
      <c r="E28" s="469">
        <v>0</v>
      </c>
      <c r="F28" s="279">
        <f t="shared" si="10"/>
        <v>234000</v>
      </c>
      <c r="G28" s="279">
        <f>+F28*B28</f>
        <v>2340000</v>
      </c>
      <c r="H28" s="260">
        <f t="shared" si="11"/>
        <v>1800000</v>
      </c>
      <c r="I28" s="260">
        <f t="shared" si="12"/>
        <v>540000</v>
      </c>
      <c r="J28" s="260">
        <f t="shared" si="13"/>
        <v>0</v>
      </c>
      <c r="K28" s="281">
        <f>+G28</f>
        <v>2340000</v>
      </c>
      <c r="L28" s="281">
        <v>1800000</v>
      </c>
      <c r="M28" s="281">
        <v>540000</v>
      </c>
      <c r="N28" s="281">
        <v>0</v>
      </c>
      <c r="O28" s="281">
        <f>+K28</f>
        <v>2340000</v>
      </c>
      <c r="P28" s="281">
        <f>+O28</f>
        <v>2340000</v>
      </c>
      <c r="Q28" s="466"/>
      <c r="R28" s="260"/>
      <c r="S28" s="260"/>
      <c r="T28" s="260"/>
      <c r="U28" s="466"/>
      <c r="V28" s="466"/>
      <c r="W28" s="466"/>
      <c r="X28" s="466"/>
      <c r="Y28" s="281">
        <f>+P28</f>
        <v>2340000</v>
      </c>
      <c r="Z28" s="281">
        <f>+Y28</f>
        <v>2340000</v>
      </c>
      <c r="AA28" s="281">
        <f>+Z28</f>
        <v>2340000</v>
      </c>
      <c r="AB28" s="478">
        <f t="shared" si="7"/>
        <v>18720000</v>
      </c>
      <c r="AC28" s="479">
        <f>+C28*B28*7</f>
        <v>12600000</v>
      </c>
      <c r="AD28" s="474">
        <f>+D28*B28*7</f>
        <v>3780000</v>
      </c>
      <c r="AE28" s="258">
        <f>+E28*B28*12</f>
        <v>0</v>
      </c>
    </row>
    <row r="29" spans="1:31">
      <c r="A29" s="237"/>
    </row>
  </sheetData>
  <mergeCells count="3">
    <mergeCell ref="A1:AE2"/>
    <mergeCell ref="A4:A5"/>
    <mergeCell ref="B3:F3"/>
  </mergeCells>
  <pageMargins left="0.7" right="0.7" top="0.75" bottom="0.75" header="0.3" footer="0.3"/>
  <pageSetup paperSize="9" scale="48" orientation="landscape" r:id="rId1"/>
  <ignoredErrors>
    <ignoredError sqref="H14:I14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workbookViewId="0">
      <selection activeCell="F30" sqref="F30"/>
    </sheetView>
  </sheetViews>
  <sheetFormatPr defaultRowHeight="15"/>
  <cols>
    <col min="1" max="1" width="37.42578125" bestFit="1" customWidth="1"/>
    <col min="6" max="6" width="39.5703125" bestFit="1" customWidth="1"/>
    <col min="9" max="9" width="44.28515625" bestFit="1" customWidth="1"/>
  </cols>
  <sheetData>
    <row r="1" spans="1:9">
      <c r="A1" s="570" t="s">
        <v>256</v>
      </c>
      <c r="B1" s="255">
        <v>2015</v>
      </c>
      <c r="C1" s="256"/>
      <c r="F1" s="570" t="s">
        <v>256</v>
      </c>
      <c r="G1" s="255">
        <v>2016</v>
      </c>
      <c r="H1" s="254"/>
      <c r="I1" s="253"/>
    </row>
    <row r="2" spans="1:9">
      <c r="A2" s="571"/>
      <c r="B2" s="253" t="s">
        <v>255</v>
      </c>
      <c r="C2" s="253" t="s">
        <v>254</v>
      </c>
      <c r="F2" s="571"/>
      <c r="G2" s="253" t="s">
        <v>255</v>
      </c>
      <c r="H2" s="253" t="s">
        <v>254</v>
      </c>
      <c r="I2" s="243"/>
    </row>
    <row r="3" spans="1:9">
      <c r="A3" s="252" t="s">
        <v>253</v>
      </c>
      <c r="B3" s="243">
        <v>1</v>
      </c>
      <c r="C3" s="243">
        <v>550000</v>
      </c>
      <c r="F3" s="247" t="s">
        <v>252</v>
      </c>
      <c r="G3" s="243">
        <v>1</v>
      </c>
      <c r="H3" s="243">
        <v>550000</v>
      </c>
      <c r="I3" s="243"/>
    </row>
    <row r="4" spans="1:9">
      <c r="A4" s="244" t="s">
        <v>248</v>
      </c>
      <c r="B4" s="243"/>
      <c r="C4" s="243"/>
      <c r="F4" s="247" t="s">
        <v>243</v>
      </c>
      <c r="G4" s="243">
        <v>1</v>
      </c>
      <c r="H4" s="243">
        <v>500000</v>
      </c>
      <c r="I4" s="243"/>
    </row>
    <row r="5" spans="1:9">
      <c r="A5" s="246" t="s">
        <v>247</v>
      </c>
      <c r="B5" s="243">
        <v>1</v>
      </c>
      <c r="C5" s="243">
        <v>300000</v>
      </c>
      <c r="F5" s="247" t="s">
        <v>221</v>
      </c>
      <c r="G5" s="247">
        <v>1</v>
      </c>
      <c r="H5" s="247">
        <v>230000</v>
      </c>
      <c r="I5" s="242" t="s">
        <v>251</v>
      </c>
    </row>
    <row r="6" spans="1:9">
      <c r="A6" s="246" t="s">
        <v>242</v>
      </c>
      <c r="B6" s="243">
        <v>3</v>
      </c>
      <c r="C6" s="243">
        <v>200000</v>
      </c>
      <c r="F6" s="247" t="s">
        <v>224</v>
      </c>
      <c r="G6" s="247">
        <v>1</v>
      </c>
      <c r="H6" s="247">
        <v>200000</v>
      </c>
      <c r="I6" s="242" t="s">
        <v>250</v>
      </c>
    </row>
    <row r="7" spans="1:9">
      <c r="A7" s="246" t="s">
        <v>249</v>
      </c>
      <c r="B7" s="243">
        <v>2</v>
      </c>
      <c r="C7" s="243">
        <v>200000</v>
      </c>
      <c r="F7" s="244" t="s">
        <v>248</v>
      </c>
      <c r="G7" s="244"/>
      <c r="H7" s="244"/>
      <c r="I7" s="248"/>
    </row>
    <row r="8" spans="1:9" ht="30" customHeight="1">
      <c r="A8" s="246" t="s">
        <v>223</v>
      </c>
      <c r="B8" s="243">
        <v>1</v>
      </c>
      <c r="C8" s="243">
        <v>220000</v>
      </c>
      <c r="F8" s="246" t="s">
        <v>247</v>
      </c>
      <c r="G8" s="243">
        <v>1</v>
      </c>
      <c r="H8" s="243">
        <v>300000</v>
      </c>
      <c r="I8" s="242" t="s">
        <v>246</v>
      </c>
    </row>
    <row r="9" spans="1:9" ht="45">
      <c r="A9" s="244" t="s">
        <v>220</v>
      </c>
      <c r="B9" s="243"/>
      <c r="C9" s="243"/>
      <c r="F9" s="251" t="s">
        <v>245</v>
      </c>
      <c r="G9" s="243">
        <v>1</v>
      </c>
      <c r="H9" s="243">
        <v>250000</v>
      </c>
      <c r="I9" s="242" t="s">
        <v>244</v>
      </c>
    </row>
    <row r="10" spans="1:9">
      <c r="A10" s="247" t="s">
        <v>243</v>
      </c>
      <c r="B10" s="243">
        <v>1</v>
      </c>
      <c r="C10" s="243">
        <v>500000</v>
      </c>
      <c r="F10" s="246" t="s">
        <v>242</v>
      </c>
      <c r="G10" s="243">
        <v>3</v>
      </c>
      <c r="H10" s="243">
        <v>225000</v>
      </c>
      <c r="I10" s="242" t="s">
        <v>241</v>
      </c>
    </row>
    <row r="11" spans="1:9">
      <c r="A11" s="247" t="s">
        <v>219</v>
      </c>
      <c r="B11" s="243">
        <v>1</v>
      </c>
      <c r="C11" s="243">
        <v>500000</v>
      </c>
      <c r="F11" s="246" t="s">
        <v>240</v>
      </c>
      <c r="G11" s="243">
        <v>2</v>
      </c>
      <c r="H11" s="243">
        <v>225000</v>
      </c>
      <c r="I11" s="242" t="s">
        <v>239</v>
      </c>
    </row>
    <row r="12" spans="1:9">
      <c r="A12" s="247" t="s">
        <v>238</v>
      </c>
      <c r="B12" s="243">
        <v>2</v>
      </c>
      <c r="C12" s="243">
        <v>225000</v>
      </c>
      <c r="F12" s="244" t="s">
        <v>237</v>
      </c>
      <c r="G12" s="244"/>
      <c r="H12" s="244"/>
      <c r="I12" s="248"/>
    </row>
    <row r="13" spans="1:9">
      <c r="A13" s="246" t="s">
        <v>236</v>
      </c>
      <c r="B13" s="243">
        <v>35</v>
      </c>
      <c r="C13" s="243">
        <v>150000</v>
      </c>
      <c r="F13" s="247" t="s">
        <v>235</v>
      </c>
      <c r="G13" s="243">
        <v>1</v>
      </c>
      <c r="H13" s="243">
        <v>240000</v>
      </c>
      <c r="I13" s="242"/>
    </row>
    <row r="14" spans="1:9">
      <c r="A14" s="247" t="s">
        <v>234</v>
      </c>
      <c r="B14" s="243">
        <v>2</v>
      </c>
      <c r="C14" s="243">
        <v>200000</v>
      </c>
      <c r="F14" s="247" t="s">
        <v>233</v>
      </c>
      <c r="G14" s="243">
        <v>1</v>
      </c>
      <c r="H14" s="243">
        <v>200000</v>
      </c>
      <c r="I14" s="242" t="s">
        <v>232</v>
      </c>
    </row>
    <row r="15" spans="1:9">
      <c r="A15" s="244" t="s">
        <v>215</v>
      </c>
      <c r="B15" s="243"/>
      <c r="C15" s="243"/>
      <c r="F15" s="244" t="s">
        <v>231</v>
      </c>
      <c r="G15" s="244"/>
      <c r="H15" s="244"/>
      <c r="I15" s="248"/>
    </row>
    <row r="16" spans="1:9">
      <c r="A16" s="246" t="s">
        <v>230</v>
      </c>
      <c r="B16" s="243">
        <v>1</v>
      </c>
      <c r="C16" s="243">
        <v>300000</v>
      </c>
      <c r="F16" s="247" t="s">
        <v>229</v>
      </c>
      <c r="G16" s="243">
        <v>1</v>
      </c>
      <c r="H16" s="243">
        <v>500000</v>
      </c>
      <c r="I16" s="242" t="s">
        <v>393</v>
      </c>
    </row>
    <row r="17" spans="1:9">
      <c r="A17" s="246" t="s">
        <v>228</v>
      </c>
      <c r="B17" s="243">
        <v>1</v>
      </c>
      <c r="C17" s="243">
        <v>350000</v>
      </c>
      <c r="F17" s="247" t="s">
        <v>228</v>
      </c>
      <c r="G17" s="243">
        <v>1</v>
      </c>
      <c r="H17" s="243">
        <v>350000</v>
      </c>
      <c r="I17" s="242" t="s">
        <v>227</v>
      </c>
    </row>
    <row r="18" spans="1:9">
      <c r="A18" s="246" t="s">
        <v>226</v>
      </c>
      <c r="B18" s="243">
        <v>2</v>
      </c>
      <c r="C18" s="243">
        <v>200000</v>
      </c>
      <c r="F18" s="247" t="s">
        <v>226</v>
      </c>
      <c r="G18" s="243">
        <v>1</v>
      </c>
      <c r="H18" s="243">
        <v>225000</v>
      </c>
      <c r="I18" s="242" t="s">
        <v>225</v>
      </c>
    </row>
    <row r="19" spans="1:9">
      <c r="A19" s="250" t="s">
        <v>224</v>
      </c>
      <c r="B19" s="243">
        <v>1</v>
      </c>
      <c r="C19" s="243">
        <v>200000</v>
      </c>
      <c r="F19" s="247" t="s">
        <v>223</v>
      </c>
      <c r="G19" s="247">
        <v>1</v>
      </c>
      <c r="H19" s="247">
        <v>220000</v>
      </c>
      <c r="I19" s="249" t="s">
        <v>222</v>
      </c>
    </row>
    <row r="20" spans="1:9">
      <c r="A20" s="246" t="s">
        <v>221</v>
      </c>
      <c r="B20" s="243">
        <v>1</v>
      </c>
      <c r="C20" s="243">
        <v>250000</v>
      </c>
      <c r="F20" s="244" t="s">
        <v>220</v>
      </c>
      <c r="G20" s="244"/>
      <c r="H20" s="244"/>
      <c r="I20" s="248"/>
    </row>
    <row r="21" spans="1:9">
      <c r="F21" s="247" t="s">
        <v>219</v>
      </c>
      <c r="G21" s="243">
        <v>1</v>
      </c>
      <c r="H21" s="243">
        <v>500000</v>
      </c>
      <c r="I21" s="242"/>
    </row>
    <row r="22" spans="1:9">
      <c r="F22" s="247" t="s">
        <v>218</v>
      </c>
      <c r="G22" s="243">
        <v>2</v>
      </c>
      <c r="H22" s="243">
        <v>270000</v>
      </c>
      <c r="I22" s="242" t="s">
        <v>217</v>
      </c>
    </row>
    <row r="23" spans="1:9">
      <c r="F23" s="246" t="s">
        <v>216</v>
      </c>
      <c r="G23" s="245">
        <v>45</v>
      </c>
      <c r="H23" s="245">
        <v>150000</v>
      </c>
      <c r="I23" s="242"/>
    </row>
    <row r="24" spans="1:9">
      <c r="F24" s="244" t="s">
        <v>215</v>
      </c>
      <c r="G24" s="243"/>
      <c r="H24" s="243"/>
      <c r="I24" s="242"/>
    </row>
    <row r="25" spans="1:9">
      <c r="F25" s="239" t="s">
        <v>214</v>
      </c>
      <c r="G25" s="238">
        <v>1</v>
      </c>
      <c r="H25" s="238">
        <v>180000</v>
      </c>
      <c r="I25" s="240" t="s">
        <v>213</v>
      </c>
    </row>
    <row r="26" spans="1:9">
      <c r="F26" s="241" t="s">
        <v>212</v>
      </c>
      <c r="G26" s="238"/>
      <c r="H26" s="238"/>
      <c r="I26" s="240" t="s">
        <v>211</v>
      </c>
    </row>
    <row r="27" spans="1:9">
      <c r="F27" s="239" t="s">
        <v>210</v>
      </c>
      <c r="G27" s="238"/>
      <c r="H27" s="238"/>
      <c r="I27" s="238" t="s">
        <v>209</v>
      </c>
    </row>
    <row r="28" spans="1:9">
      <c r="F28" s="239" t="s">
        <v>208</v>
      </c>
      <c r="G28" s="238"/>
      <c r="H28" s="238"/>
      <c r="I28" s="238" t="s">
        <v>207</v>
      </c>
    </row>
    <row r="29" spans="1:9">
      <c r="F29" s="237"/>
    </row>
    <row r="30" spans="1:9">
      <c r="F30" s="237"/>
      <c r="G30">
        <f>SUM(G3:G28)</f>
        <v>66</v>
      </c>
    </row>
    <row r="31" spans="1:9">
      <c r="F31" s="237"/>
    </row>
  </sheetData>
  <mergeCells count="2">
    <mergeCell ref="A1:A2"/>
    <mergeCell ref="F1:F2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4"/>
  <sheetViews>
    <sheetView workbookViewId="0">
      <selection activeCell="M7" sqref="M7"/>
    </sheetView>
  </sheetViews>
  <sheetFormatPr defaultRowHeight="15"/>
  <cols>
    <col min="3" max="3" width="35.7109375" bestFit="1" customWidth="1"/>
    <col min="12" max="12" width="10.42578125" bestFit="1" customWidth="1"/>
    <col min="13" max="13" width="11.7109375" bestFit="1" customWidth="1"/>
    <col min="15" max="15" width="10.42578125" bestFit="1" customWidth="1"/>
    <col min="17" max="17" width="10.140625" bestFit="1" customWidth="1"/>
    <col min="19" max="19" width="10.140625" bestFit="1" customWidth="1"/>
  </cols>
  <sheetData>
    <row r="1" spans="2:22" s="278" customFormat="1" ht="31.5" customHeight="1">
      <c r="C1" s="409" t="s">
        <v>100</v>
      </c>
      <c r="D1" s="409"/>
      <c r="E1" s="409"/>
      <c r="F1" s="409"/>
      <c r="G1" s="409"/>
      <c r="H1" s="409"/>
      <c r="I1" s="409"/>
      <c r="J1" s="409"/>
      <c r="K1" s="409"/>
      <c r="L1" s="409"/>
      <c r="M1" s="409"/>
      <c r="N1" s="409"/>
      <c r="O1" s="409"/>
      <c r="P1" s="409"/>
      <c r="Q1" s="409"/>
      <c r="R1" s="409"/>
      <c r="S1" s="409"/>
    </row>
    <row r="2" spans="2:22" s="278" customFormat="1" ht="15" customHeight="1">
      <c r="C2" s="2" t="s">
        <v>2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12</v>
      </c>
      <c r="L2" s="4" t="s">
        <v>13</v>
      </c>
      <c r="M2" s="4" t="s">
        <v>14</v>
      </c>
      <c r="N2" s="4" t="s">
        <v>15</v>
      </c>
      <c r="O2" s="4" t="s">
        <v>16</v>
      </c>
      <c r="P2" s="4" t="s">
        <v>17</v>
      </c>
      <c r="Q2" s="5" t="s">
        <v>18</v>
      </c>
      <c r="R2" s="5" t="s">
        <v>19</v>
      </c>
      <c r="S2" s="5" t="s">
        <v>20</v>
      </c>
    </row>
    <row r="3" spans="2:22" s="40" customFormat="1" ht="16.5" customHeight="1">
      <c r="B3" s="37" t="s">
        <v>96</v>
      </c>
      <c r="C3" s="338" t="s">
        <v>390</v>
      </c>
      <c r="D3" s="317"/>
      <c r="E3" s="320">
        <f>(8000000/6)</f>
        <v>1333333.3333333333</v>
      </c>
      <c r="F3" s="320">
        <f t="shared" ref="F3:J3" si="0">8000000/6</f>
        <v>1333333.3333333333</v>
      </c>
      <c r="G3" s="320">
        <f t="shared" si="0"/>
        <v>1333333.3333333333</v>
      </c>
      <c r="H3" s="320">
        <f t="shared" si="0"/>
        <v>1333333.3333333333</v>
      </c>
      <c r="I3" s="320">
        <f t="shared" si="0"/>
        <v>1333333.3333333333</v>
      </c>
      <c r="J3" s="320">
        <f t="shared" si="0"/>
        <v>1333333.3333333333</v>
      </c>
      <c r="K3" s="320">
        <v>1400000</v>
      </c>
      <c r="L3" s="320">
        <v>1400000</v>
      </c>
      <c r="M3" s="320">
        <v>1400000</v>
      </c>
      <c r="N3" s="320">
        <v>1400000</v>
      </c>
      <c r="O3" s="320">
        <v>1400000</v>
      </c>
      <c r="P3" s="320">
        <v>1400000</v>
      </c>
      <c r="Q3" s="320">
        <f t="shared" ref="Q3" si="1">SUM(E3:P3)</f>
        <v>16400000</v>
      </c>
      <c r="R3" s="317">
        <f t="shared" ref="R3" si="2">+Q3*0.27</f>
        <v>4428000</v>
      </c>
      <c r="S3" s="483">
        <f t="shared" ref="S3" si="3">+R3+Q3</f>
        <v>20828000</v>
      </c>
      <c r="T3" s="394"/>
      <c r="U3" s="389"/>
      <c r="V3" s="389"/>
    </row>
    <row r="4" spans="2:22">
      <c r="B4" s="523" t="s">
        <v>97</v>
      </c>
      <c r="C4" s="527" t="s">
        <v>391</v>
      </c>
      <c r="D4" s="525"/>
      <c r="E4" s="526">
        <v>1000000</v>
      </c>
      <c r="F4" s="526">
        <v>1000000</v>
      </c>
      <c r="G4" s="526">
        <v>1000000</v>
      </c>
      <c r="H4" s="526">
        <v>1000000</v>
      </c>
      <c r="I4" s="526">
        <v>1000000</v>
      </c>
      <c r="J4" s="526">
        <v>1000000</v>
      </c>
      <c r="K4" s="526">
        <v>1000000</v>
      </c>
      <c r="L4" s="526">
        <v>1000000</v>
      </c>
      <c r="M4" s="526">
        <v>1000000</v>
      </c>
      <c r="N4" s="526">
        <v>1000000</v>
      </c>
      <c r="O4" s="526">
        <v>1000000</v>
      </c>
      <c r="P4" s="526">
        <v>1000000</v>
      </c>
      <c r="Q4" s="526">
        <f t="shared" ref="Q4" si="4">SUM(E4:P4)</f>
        <v>12000000</v>
      </c>
      <c r="R4" s="525">
        <f t="shared" ref="R4" si="5">+Q4*0.27</f>
        <v>3240000</v>
      </c>
      <c r="S4" s="483">
        <f t="shared" ref="S4" si="6">+R4+Q4</f>
        <v>15240000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14</vt:i4>
      </vt:variant>
      <vt:variant>
        <vt:lpstr>Névvel ellátott tartományok</vt:lpstr>
      </vt:variant>
      <vt:variant>
        <vt:i4>1</vt:i4>
      </vt:variant>
    </vt:vector>
  </HeadingPairs>
  <TitlesOfParts>
    <vt:vector size="15" baseType="lpstr">
      <vt:lpstr>2016 ktgterv_teljes parkolás</vt:lpstr>
      <vt:lpstr>2016 ktgek részletezése</vt:lpstr>
      <vt:lpstr>2016 ktgterv_ParkolasiKFT</vt:lpstr>
      <vt:lpstr>bevételterv 2016</vt:lpstr>
      <vt:lpstr>ÁFA</vt:lpstr>
      <vt:lpstr>eredményterv 2016</vt:lpstr>
      <vt:lpstr>bérköltség</vt:lpstr>
      <vt:lpstr>2016 bér terv</vt:lpstr>
      <vt:lpstr>Óbuda kártya</vt:lpstr>
      <vt:lpstr>zónák</vt:lpstr>
      <vt:lpstr>Bevétel 2015</vt:lpstr>
      <vt:lpstr>tényleges kiadások 2015</vt:lpstr>
      <vt:lpstr>Rezsiköltségek</vt:lpstr>
      <vt:lpstr>eredeti bevétel prognózis </vt:lpstr>
      <vt:lpstr>ÁFA!Nyomtatási_terület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magyarorszag21@gmail.com</dc:creator>
  <cp:lastModifiedBy>Báll Sándor</cp:lastModifiedBy>
  <cp:lastPrinted>2016-01-21T12:52:41Z</cp:lastPrinted>
  <dcterms:created xsi:type="dcterms:W3CDTF">2015-11-11T14:35:50Z</dcterms:created>
  <dcterms:modified xsi:type="dcterms:W3CDTF">2016-01-22T09:21:26Z</dcterms:modified>
</cp:coreProperties>
</file>